
<file path=[Content_Types].xml><?xml version="1.0" encoding="utf-8"?>
<Types xmlns="http://schemas.openxmlformats.org/package/2006/content-types">
  <Default Extension="bin" ContentType="application/vnd.openxmlformats-officedocument.oleObject"/>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drawings/drawing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drawings/drawing9.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210" yWindow="285" windowWidth="15480" windowHeight="11640" tabRatio="931"/>
  </bookViews>
  <sheets>
    <sheet name=" " sheetId="1" r:id="rId1"/>
    <sheet name="Anleitung" sheetId="2" r:id="rId2"/>
    <sheet name="Futterwerte" sheetId="3" r:id="rId3"/>
    <sheet name="Eigenmischungen" sheetId="4" r:id="rId4"/>
    <sheet name="Ration Milch" sheetId="5" r:id="rId5"/>
    <sheet name="Ration Milch-Mineralstoffe" sheetId="6" r:id="rId6"/>
    <sheet name="Zuteilung-Milchleistungsfutter" sheetId="7" state="hidden" r:id="rId7"/>
    <sheet name="Modul1" sheetId="8" state="veryHidden" r:id="rId8"/>
    <sheet name="TMR-Mischplan" sheetId="9" r:id="rId9"/>
    <sheet name="Ration Aufzucht-Mast" sheetId="10" state="hidden" r:id="rId10"/>
    <sheet name="Info" sheetId="11" r:id="rId11"/>
    <sheet name="Einstellungen" sheetId="12" r:id="rId12"/>
  </sheets>
  <externalReferences>
    <externalReference r:id="rId13"/>
  </externalReferences>
  <definedNames>
    <definedName name="_xlnm._FilterDatabase" localSheetId="2" hidden="1">Futterwerte!$A$3:$AG$197</definedName>
    <definedName name="ADFmin">Einstellungen!$E$11</definedName>
    <definedName name="AF_TS1">'Zuteilung-Milchleistungsfutter'!$J$19</definedName>
    <definedName name="Art">'Ration Milch'!$C$3</definedName>
    <definedName name="Camax">Einstellungen!$F$19</definedName>
    <definedName name="Camin">Einstellungen!$E$19</definedName>
    <definedName name="CaPmax">Einstellungen!$F$25</definedName>
    <definedName name="CaPmin">Einstellungen!$E$25</definedName>
    <definedName name="_xlnm.Print_Area" localSheetId="3">Eigenmischungen!$A$1:$AL$52</definedName>
    <definedName name="_xlnm.Print_Area" localSheetId="2">Futterwerte!$A$1:$Y$197</definedName>
    <definedName name="_xlnm.Print_Area" localSheetId="9">'Ration Aufzucht-Mast'!$A$1:$AH$31</definedName>
    <definedName name="_xlnm.Print_Area" localSheetId="4">'Ration Milch'!$A$1:$AK$51</definedName>
    <definedName name="_xlnm.Print_Area" localSheetId="5">'Ration Milch-Mineralstoffe'!$A$1:$AD$42</definedName>
    <definedName name="_xlnm.Print_Area" localSheetId="8">'TMR-Mischplan'!$AK$1:$BG$40</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Milch'!$L$11</definedName>
    <definedName name="ECM">'Ration Milch'!$W$15</definedName>
    <definedName name="EM" localSheetId="5">'Ration Milch-Mineralstoffe'!$R$10</definedName>
    <definedName name="EM">'Ration Milch'!$W$13</definedName>
    <definedName name="F_vH">'Ration Milch'!$K$11</definedName>
    <definedName name="FS" localSheetId="5">'Ration Milch-Mineralstoffe'!$A$37</definedName>
    <definedName name="FS">'Ration Milch'!$B$40</definedName>
    <definedName name="Futter">[1]Erfassung!$B$13:$Y$10018</definedName>
    <definedName name="GF_NEL">'Ration Milch'!$W$27</definedName>
    <definedName name="GR_ADF">'Ration Milch'!$AB$34</definedName>
    <definedName name="GR_Ca">'Ration Milch-Mineralstoffe'!$R$31</definedName>
    <definedName name="GR_K">'Ration Milch-Mineralstoffe'!$V$31</definedName>
    <definedName name="GR_Mg">'Ration Milch-Mineralstoffe'!$U$31</definedName>
    <definedName name="GR_Na">'Ration Milch-Mineralstoffe'!$T$31</definedName>
    <definedName name="GR_NDF">'Ration Milch'!$AC$34</definedName>
    <definedName name="GR_NEL">'Ration Milch'!$W$34</definedName>
    <definedName name="GR_NFC">'Ration Milch'!$Z$34</definedName>
    <definedName name="GR_nXP">'Ration Milch'!$X$34</definedName>
    <definedName name="GR_P">'Ration Milch-Mineralstoffe'!$S$31</definedName>
    <definedName name="GR_RNB">'Ration Milch'!$Y$34</definedName>
    <definedName name="GR_Se">'Ration Milch-Mineralstoffe'!$W$31</definedName>
    <definedName name="GR_SW">'Ration Milch'!$AA$34</definedName>
    <definedName name="GR_sXF">'Ration Milch'!$AH$34</definedName>
    <definedName name="GR_XF">'Ration Milch'!$AG$34</definedName>
    <definedName name="GR_XL">'Ration Milch'!$AF$34</definedName>
    <definedName name="GR_XS">'Ration Milch'!$AD$34</definedName>
    <definedName name="GR_XZ">'Ration Milch'!$AE$34</definedName>
    <definedName name="ITmax">Einstellungen!$F$3</definedName>
    <definedName name="ITmin">Einstellungen!$E$3</definedName>
    <definedName name="Kalbung" localSheetId="5">'Ration Milch-Mineralstoffe'!$E$6</definedName>
    <definedName name="Kalbung">'Ration Milch'!$H$13</definedName>
    <definedName name="Kmax">Einstellungen!$F$23</definedName>
    <definedName name="Kmin">Einstellungen!$E$23</definedName>
    <definedName name="Kosten_TM">'Ration Milch'!$AI$42</definedName>
    <definedName name="LakNr" localSheetId="5">'Ration Milch-Mineralstoffe'!$D$6</definedName>
    <definedName name="LakNr">'Ration Milch'!$G$11</definedName>
    <definedName name="LaktTag">'Ration Milch'!$H$11</definedName>
    <definedName name="LG" localSheetId="5">'Ration Milch-Mineralstoffe'!$F$6</definedName>
    <definedName name="LG">'Ration Milch'!$I$11</definedName>
    <definedName name="M_kg">'Ration Milch'!$J$11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Einstellungen!$F$22</definedName>
    <definedName name="Mgmin">Einstellungen!$E$22</definedName>
    <definedName name="MJ_GF">'Ration Milch'!$W$26</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'Zuteilung-Milchleistungsfutter'!$AF$5</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Einstellungen!$F$26</definedName>
    <definedName name="NaKmin">Einstellungen!$E$26</definedName>
    <definedName name="Namax">Einstellungen!$F$21</definedName>
    <definedName name="Namin">Einstellungen!$E$21</definedName>
    <definedName name="NDFmin">Einstellungen!$E$12</definedName>
    <definedName name="NEL">'Ration Milch'!$W$40</definedName>
    <definedName name="NEL_kg">'Ration Milch'!$W$42</definedName>
    <definedName name="NELmax">Einstellungen!$F$4</definedName>
    <definedName name="NELmin">Einstellungen!$E$4</definedName>
    <definedName name="NFCmax">Einstellungen!$F$9</definedName>
    <definedName name="nXP">'Ration Milch'!$X$40</definedName>
    <definedName name="nXPmax">Einstellungen!$F$6</definedName>
    <definedName name="nXPmin">Einstellungen!$E$6</definedName>
    <definedName name="Pmax">Einstellungen!$F$20</definedName>
    <definedName name="Pmin">Einstellungen!$E$20</definedName>
    <definedName name="Rasse">'Ration Milch'!$F$3</definedName>
    <definedName name="RNBmax">Einstellungen!$F$8</definedName>
    <definedName name="RNBmin">Einstellungen!$E$8</definedName>
    <definedName name="Semax">Einstellungen!$F$24</definedName>
    <definedName name="Semin">Einstellungen!$E$24</definedName>
    <definedName name="SWmin">Einstellungen!$E$10</definedName>
    <definedName name="sXFmin">Einstellungen!$E$17</definedName>
    <definedName name="t" localSheetId="5">'Ration Milch-Mineralstoffe'!$K$6</definedName>
    <definedName name="Tabelle" localSheetId="2">Futterwerte!$B$8:$Z$195</definedName>
    <definedName name="Tabelle">Futterwerte!$B$8:$Z$199</definedName>
    <definedName name="Tabelle_GF">Futterwerte!$B$8:$AA$133</definedName>
    <definedName name="Tabelle_KF">Futterwerte!$B$134:$AA$196</definedName>
    <definedName name="Tabelle_Kopf">Futterwerte!$B$3:$Y$7</definedName>
    <definedName name="Tiere">'Ration Milch'!$F$9</definedName>
    <definedName name="TM_FM">'Ration Milch'!$H$5</definedName>
    <definedName name="TM_GF">'Ration Milch'!$V$26</definedName>
    <definedName name="TM_Grundration">'Ration Milch'!$V$33</definedName>
    <definedName name="TMR">'Ration Milch'!$D$11</definedName>
    <definedName name="TS" localSheetId="5">'Ration Milch-Mineralstoffe'!$Q$37</definedName>
    <definedName name="TS">'Ration Milch'!$V$40</definedName>
    <definedName name="XFmin">Einstellungen!$E$16</definedName>
    <definedName name="XLmax">Einstellungen!$F$15</definedName>
    <definedName name="XPmax">Einstellungen!$F$7</definedName>
    <definedName name="XPmin">Einstellungen!$E$7</definedName>
    <definedName name="XSmax">Einstellungen!$F$13</definedName>
    <definedName name="XZmax">Einstellungen!$F$14</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Eigenmischungen!$D:$AA,Eigenmischungen!$AM:$XFD</definedName>
    <definedName name="Z_117F828A_4542_4D18_9CDB_B606529AAD66_.wvu.Cols" localSheetId="2" hidden="1">Futterwerte!$AA:$XFD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Milch'!$O:$S,'Ration Milch'!$AD:$AH</definedName>
    <definedName name="Z_117F828A_4542_4D18_9CDB_B606529AAD66_.wvu.Cols" localSheetId="5" hidden="1">'Ration Milch-Mineralstoffe'!$B:$B,'Ration Milch-Mineralstoffe'!$K:$O,'Ration Milch-Mineralstoffe'!$X:$AB,'Ration Milch-Mineralstoffe'!$AE:$XFD</definedName>
    <definedName name="Z_117F828A_4542_4D18_9CDB_B606529AAD66_.wvu.Cols" localSheetId="8" hidden="1">'TMR-Mischplan'!$D:$Z,'TMR-Mischplan'!$BH:$XFD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Futterwerte!$A$3:$AG$197</definedName>
    <definedName name="Z_117F828A_4542_4D18_9CDB_B606529AAD66_.wvu.PrintArea" localSheetId="3" hidden="1">Eigenmischungen!$A$1:$AL$52</definedName>
    <definedName name="Z_117F828A_4542_4D18_9CDB_B606529AAD66_.wvu.PrintArea" localSheetId="2" hidden="1">Futterwerte!$A$1:$Y$197</definedName>
    <definedName name="Z_117F828A_4542_4D18_9CDB_B606529AAD66_.wvu.PrintArea" localSheetId="9" hidden="1">'Ration Aufzucht-Mast'!$A$1:$AH$31</definedName>
    <definedName name="Z_117F828A_4542_4D18_9CDB_B606529AAD66_.wvu.PrintArea" localSheetId="4" hidden="1">'Ration Milch'!$A$1:$AK$51</definedName>
    <definedName name="Z_117F828A_4542_4D18_9CDB_B606529AAD66_.wvu.PrintArea" localSheetId="5" hidden="1">'Ration Milch-Mineralstoffe'!$A$1:$AD$42</definedName>
    <definedName name="Z_117F828A_4542_4D18_9CDB_B606529AAD66_.wvu.PrintArea" localSheetId="8" hidden="1">'TMR-Mischplan'!$AK$1:$BG$40</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Eigenmischungen!$53:$1048576</definedName>
    <definedName name="Z_117F828A_4542_4D18_9CDB_B606529AAD66_.wvu.Rows" localSheetId="2" hidden="1">Futterwerte!$202:$1048576,Futterwerte!$200:$201</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'TMR-Mischplan'!$58:$58</definedName>
    <definedName name="Z_117F828A_4542_4D18_9CDB_B606529AAD66_.wvu.Rows" localSheetId="6" hidden="1">'Zuteilung-Milchleistungsfutter'!$67:$1048576</definedName>
  </definedNames>
  <calcPr calcId="145621"/>
  <customWorkbookViews>
    <customWorkbookView name="Sekul, Wolfgang (LAZBW) - Persönliche Ansicht" guid="{117F828A-4542-4D18-9CDB-B606529AAD66}" mergeInterval="0" personalView="1" maximized="1" windowWidth="1916" windowHeight="868" tabRatio="931" activeSheetId="3"/>
  </customWorkbookViews>
</workbook>
</file>

<file path=xl/calcChain.xml><?xml version="1.0" encoding="utf-8"?>
<calcChain xmlns="http://schemas.openxmlformats.org/spreadsheetml/2006/main">
  <c r="S19" i="10" l="1"/>
  <c r="AG19" i="10" s="1"/>
  <c r="S20" i="10"/>
  <c r="AG20" i="10" s="1"/>
  <c r="S18" i="10"/>
  <c r="S11" i="10"/>
  <c r="S12" i="10"/>
  <c r="AG12" i="10" s="1"/>
  <c r="S13" i="10"/>
  <c r="AG13" i="10" s="1"/>
  <c r="S14" i="10"/>
  <c r="AG14" i="10" s="1"/>
  <c r="S10" i="10"/>
  <c r="AA20" i="4"/>
  <c r="AA19" i="4"/>
  <c r="AA18" i="4"/>
  <c r="AA17" i="4"/>
  <c r="AA16" i="4"/>
  <c r="AA15" i="4"/>
  <c r="AA14" i="4"/>
  <c r="AA13" i="4"/>
  <c r="AA12" i="4"/>
  <c r="AA11" i="4"/>
  <c r="AA10" i="4"/>
  <c r="AA9" i="4"/>
  <c r="AA8" i="4"/>
  <c r="AA7" i="4"/>
  <c r="AA6" i="4"/>
  <c r="AA5" i="4"/>
  <c r="AA4" i="4"/>
  <c r="AA3" i="4"/>
  <c r="AA2" i="4"/>
  <c r="K23" i="9"/>
  <c r="K22" i="9"/>
  <c r="K21" i="9"/>
  <c r="K20" i="9"/>
  <c r="K19" i="9"/>
  <c r="K18" i="9"/>
  <c r="K17" i="9"/>
  <c r="K16" i="9"/>
  <c r="K15" i="9"/>
  <c r="K14" i="9"/>
  <c r="K13" i="9"/>
  <c r="K12" i="9"/>
  <c r="K11" i="9"/>
  <c r="K10" i="9"/>
  <c r="K9" i="9"/>
  <c r="K8" i="9"/>
  <c r="K7" i="9"/>
  <c r="K6" i="9"/>
  <c r="K5" i="9"/>
  <c r="K4" i="9"/>
  <c r="K2" i="9"/>
  <c r="AL49" i="9" s="1"/>
  <c r="AM2" i="9"/>
  <c r="AA6" i="9"/>
  <c r="AA7" i="9"/>
  <c r="AA8" i="9"/>
  <c r="AA9" i="9"/>
  <c r="AA10" i="9"/>
  <c r="AA11" i="9"/>
  <c r="AA12" i="9"/>
  <c r="AA13" i="9"/>
  <c r="AA14" i="9"/>
  <c r="AA15" i="9"/>
  <c r="AA16" i="9"/>
  <c r="AA17" i="9"/>
  <c r="AA18" i="9"/>
  <c r="AA19" i="9"/>
  <c r="AA20" i="9"/>
  <c r="AA21" i="9"/>
  <c r="AA22" i="9"/>
  <c r="AA23" i="9"/>
  <c r="AA5" i="9"/>
  <c r="AA2" i="9"/>
  <c r="AL67" i="9" s="1"/>
  <c r="AJ26" i="4" l="1"/>
  <c r="Z43" i="3" s="1"/>
  <c r="AC26" i="4"/>
  <c r="Z36" i="3" s="1"/>
  <c r="AE26" i="4"/>
  <c r="Z38" i="3" s="1"/>
  <c r="AG26" i="4"/>
  <c r="Z40" i="3" s="1"/>
  <c r="AI26" i="4"/>
  <c r="Z42" i="3" s="1"/>
  <c r="AB26" i="4"/>
  <c r="Z35" i="3" s="1"/>
  <c r="AD26" i="4"/>
  <c r="Z37" i="3" s="1"/>
  <c r="AF26" i="4"/>
  <c r="Z39" i="3" s="1"/>
  <c r="AH26" i="4"/>
  <c r="Z41" i="3" s="1"/>
  <c r="AN3" i="9"/>
  <c r="AO3" i="9"/>
  <c r="AP3" i="9"/>
  <c r="AQ3" i="9"/>
  <c r="AR3" i="9"/>
  <c r="AS3" i="9"/>
  <c r="AT3" i="9"/>
  <c r="AU3" i="9"/>
  <c r="AM3" i="9"/>
  <c r="C31" i="7" l="1"/>
  <c r="C47" i="7"/>
  <c r="C49" i="7"/>
  <c r="C45" i="7"/>
  <c r="C43" i="7"/>
  <c r="C41" i="7"/>
  <c r="C39" i="7"/>
  <c r="C37" i="7"/>
  <c r="C35" i="7"/>
  <c r="C33" i="7"/>
  <c r="C29" i="7"/>
  <c r="C27" i="7"/>
  <c r="C25" i="7"/>
  <c r="C21" i="7"/>
  <c r="C23" i="7"/>
  <c r="A21" i="7"/>
  <c r="B21" i="7" s="1"/>
  <c r="C30" i="7" l="1"/>
  <c r="C44" i="7"/>
  <c r="C40" i="7"/>
  <c r="C22" i="7"/>
  <c r="C36" i="7"/>
  <c r="C38" i="7"/>
  <c r="C42" i="7"/>
  <c r="C46" i="7"/>
  <c r="C26" i="7"/>
  <c r="C48" i="7"/>
  <c r="C34" i="7"/>
  <c r="C32" i="7"/>
  <c r="C28" i="7"/>
  <c r="C24" i="7"/>
  <c r="A22" i="7"/>
  <c r="B22" i="7" l="1"/>
  <c r="A23" i="7"/>
  <c r="A24" i="7" l="1"/>
  <c r="B23" i="7"/>
  <c r="A25" i="7" l="1"/>
  <c r="B24" i="7"/>
  <c r="A26" i="7" l="1"/>
  <c r="B25" i="7"/>
  <c r="AO5" i="9"/>
  <c r="AP5" i="9"/>
  <c r="AQ5" i="9"/>
  <c r="AR5" i="9"/>
  <c r="AS5" i="9"/>
  <c r="AT5" i="9"/>
  <c r="AU5" i="9"/>
  <c r="AQ6" i="9"/>
  <c r="AR6" i="9"/>
  <c r="AS6" i="9"/>
  <c r="AT6" i="9"/>
  <c r="AU6" i="9"/>
  <c r="AN7" i="9"/>
  <c r="AO7" i="9"/>
  <c r="AP7" i="9"/>
  <c r="AQ7" i="9"/>
  <c r="AR7" i="9"/>
  <c r="AS7" i="9"/>
  <c r="AT7" i="9"/>
  <c r="AU7" i="9"/>
  <c r="AN8" i="9"/>
  <c r="AO8" i="9"/>
  <c r="AP8" i="9"/>
  <c r="AQ8" i="9"/>
  <c r="AR8" i="9"/>
  <c r="AS8" i="9"/>
  <c r="AT8" i="9"/>
  <c r="AU8" i="9"/>
  <c r="AN9" i="9"/>
  <c r="AO9" i="9"/>
  <c r="AP9" i="9"/>
  <c r="AQ9" i="9"/>
  <c r="AR9" i="9"/>
  <c r="AS9" i="9"/>
  <c r="AT9" i="9"/>
  <c r="AU9" i="9"/>
  <c r="AN10" i="9"/>
  <c r="AO10" i="9"/>
  <c r="AP10" i="9"/>
  <c r="AQ10" i="9"/>
  <c r="AR10" i="9"/>
  <c r="AS10" i="9"/>
  <c r="AT10" i="9"/>
  <c r="AU10" i="9"/>
  <c r="AN11" i="9"/>
  <c r="AO11" i="9"/>
  <c r="AP11" i="9"/>
  <c r="AQ11" i="9"/>
  <c r="AR11" i="9"/>
  <c r="AS11" i="9"/>
  <c r="AT11" i="9"/>
  <c r="AU11" i="9"/>
  <c r="AN12" i="9"/>
  <c r="AO12" i="9"/>
  <c r="AP12" i="9"/>
  <c r="AQ12" i="9"/>
  <c r="AR12" i="9"/>
  <c r="AS12" i="9"/>
  <c r="AT12" i="9"/>
  <c r="AU12" i="9"/>
  <c r="AN13" i="9"/>
  <c r="AO13" i="9"/>
  <c r="AP13" i="9"/>
  <c r="AQ13" i="9"/>
  <c r="AR13" i="9"/>
  <c r="AS13" i="9"/>
  <c r="AT13" i="9"/>
  <c r="AU13" i="9"/>
  <c r="AN14" i="9"/>
  <c r="AO14" i="9"/>
  <c r="AP14" i="9"/>
  <c r="AQ14" i="9"/>
  <c r="AR14" i="9"/>
  <c r="AS14" i="9"/>
  <c r="AT14" i="9"/>
  <c r="AU14" i="9"/>
  <c r="AN15" i="9"/>
  <c r="AO15" i="9"/>
  <c r="AP15" i="9"/>
  <c r="AQ15" i="9"/>
  <c r="AR15" i="9"/>
  <c r="AS15" i="9"/>
  <c r="AT15" i="9"/>
  <c r="AU15" i="9"/>
  <c r="AN16" i="9"/>
  <c r="AO16" i="9"/>
  <c r="AP16" i="9"/>
  <c r="AQ16" i="9"/>
  <c r="AR16" i="9"/>
  <c r="AS16" i="9"/>
  <c r="AT16" i="9"/>
  <c r="AU16" i="9"/>
  <c r="AN17" i="9"/>
  <c r="AO17" i="9"/>
  <c r="AP17" i="9"/>
  <c r="AQ17" i="9"/>
  <c r="AR17" i="9"/>
  <c r="AS17" i="9"/>
  <c r="AT17" i="9"/>
  <c r="AU17" i="9"/>
  <c r="AN18" i="9"/>
  <c r="AO18" i="9"/>
  <c r="AP18" i="9"/>
  <c r="AQ18" i="9"/>
  <c r="AR18" i="9"/>
  <c r="AS18" i="9"/>
  <c r="AT18" i="9"/>
  <c r="AU18" i="9"/>
  <c r="AN19" i="9"/>
  <c r="AO19" i="9"/>
  <c r="AP19" i="9"/>
  <c r="AQ19" i="9"/>
  <c r="AR19" i="9"/>
  <c r="AS19" i="9"/>
  <c r="AT19" i="9"/>
  <c r="AU19" i="9"/>
  <c r="AN20" i="9"/>
  <c r="AO20" i="9"/>
  <c r="AP20" i="9"/>
  <c r="AQ20" i="9"/>
  <c r="AR20" i="9"/>
  <c r="AS20" i="9"/>
  <c r="AT20" i="9"/>
  <c r="AU20" i="9"/>
  <c r="AN21" i="9"/>
  <c r="AO21" i="9"/>
  <c r="AP21" i="9"/>
  <c r="AQ21" i="9"/>
  <c r="AR21" i="9"/>
  <c r="AS21" i="9"/>
  <c r="AT21" i="9"/>
  <c r="AU21" i="9"/>
  <c r="AN22" i="9"/>
  <c r="AO22" i="9"/>
  <c r="AP22" i="9"/>
  <c r="AQ22" i="9"/>
  <c r="AR22" i="9"/>
  <c r="AS22" i="9"/>
  <c r="AT22" i="9"/>
  <c r="AU22" i="9"/>
  <c r="AN23" i="9"/>
  <c r="AO23" i="9"/>
  <c r="AP23" i="9"/>
  <c r="AQ23" i="9"/>
  <c r="AR23" i="9"/>
  <c r="AS23" i="9"/>
  <c r="AT23" i="9"/>
  <c r="AU23" i="9"/>
  <c r="AN24" i="9"/>
  <c r="AO24" i="9"/>
  <c r="AP24" i="9"/>
  <c r="AQ24" i="9"/>
  <c r="AR24" i="9"/>
  <c r="AS24" i="9"/>
  <c r="AT24" i="9"/>
  <c r="AU24" i="9"/>
  <c r="A27" i="7" l="1"/>
  <c r="B26" i="7"/>
  <c r="A28" i="7" l="1"/>
  <c r="J28" i="7" s="1"/>
  <c r="B27" i="7"/>
  <c r="AF5" i="7"/>
  <c r="J27" i="7"/>
  <c r="J26" i="7"/>
  <c r="D26" i="7" s="1"/>
  <c r="J25" i="7"/>
  <c r="D25" i="7" s="1"/>
  <c r="J24" i="7"/>
  <c r="D24" i="7" s="1"/>
  <c r="J23" i="7"/>
  <c r="D23" i="7" s="1"/>
  <c r="J22" i="7"/>
  <c r="D22" i="7" s="1"/>
  <c r="J21" i="7"/>
  <c r="D21" i="7" s="1"/>
  <c r="J19" i="7"/>
  <c r="J17" i="7"/>
  <c r="D27" i="7" l="1"/>
  <c r="A29" i="7"/>
  <c r="B28" i="7"/>
  <c r="D28" i="7" s="1"/>
  <c r="A30" i="7" l="1"/>
  <c r="B29" i="7"/>
  <c r="J29" i="7"/>
  <c r="AA30" i="3"/>
  <c r="D29" i="7" l="1"/>
  <c r="A31" i="7"/>
  <c r="B30" i="7"/>
  <c r="J30" i="7"/>
  <c r="AG35" i="3"/>
  <c r="AF36" i="3"/>
  <c r="AG36" i="3"/>
  <c r="AE37" i="3"/>
  <c r="AF37" i="3"/>
  <c r="AG37" i="3"/>
  <c r="AD38" i="3"/>
  <c r="AE38" i="3"/>
  <c r="AF38" i="3"/>
  <c r="AG38" i="3"/>
  <c r="AC39" i="3"/>
  <c r="AD39" i="3"/>
  <c r="AE39" i="3"/>
  <c r="AF39" i="3"/>
  <c r="AG39" i="3"/>
  <c r="AB40" i="3"/>
  <c r="AC40" i="3"/>
  <c r="AD40" i="3"/>
  <c r="AE40" i="3"/>
  <c r="AF40" i="3"/>
  <c r="AG40" i="3"/>
  <c r="AA41" i="3"/>
  <c r="AB41" i="3"/>
  <c r="AC41" i="3"/>
  <c r="AD41" i="3"/>
  <c r="AE41" i="3"/>
  <c r="AF41" i="3"/>
  <c r="AG41" i="3"/>
  <c r="AA42" i="3"/>
  <c r="AB42" i="3"/>
  <c r="AC42" i="3"/>
  <c r="AD42" i="3"/>
  <c r="AE42" i="3"/>
  <c r="AF42" i="3"/>
  <c r="AG42" i="3"/>
  <c r="AA43" i="3"/>
  <c r="AB43" i="3"/>
  <c r="AC43" i="3"/>
  <c r="AD43" i="3"/>
  <c r="AE43" i="3"/>
  <c r="AF43" i="3"/>
  <c r="AG43" i="3"/>
  <c r="Y5" i="9"/>
  <c r="Z5" i="9"/>
  <c r="Y6" i="9"/>
  <c r="Z6" i="9"/>
  <c r="Y8" i="9"/>
  <c r="Z8" i="9"/>
  <c r="Y9" i="9"/>
  <c r="Z9" i="9"/>
  <c r="Y10" i="9"/>
  <c r="Z10" i="9"/>
  <c r="Y11" i="9"/>
  <c r="Z11" i="9"/>
  <c r="Y12" i="9"/>
  <c r="Z12" i="9"/>
  <c r="Y13" i="9"/>
  <c r="Z13" i="9"/>
  <c r="Y14" i="9"/>
  <c r="Z14" i="9"/>
  <c r="Y15" i="9"/>
  <c r="Z15" i="9"/>
  <c r="Y16" i="9"/>
  <c r="Z16" i="9"/>
  <c r="Y17" i="9"/>
  <c r="Z17" i="9"/>
  <c r="Y19" i="9"/>
  <c r="Z19" i="9"/>
  <c r="Y20" i="9"/>
  <c r="Z20" i="9"/>
  <c r="Y21" i="9"/>
  <c r="Z21" i="9"/>
  <c r="Y22" i="9"/>
  <c r="Z22" i="9"/>
  <c r="Y23" i="9"/>
  <c r="Z23" i="9"/>
  <c r="Z4" i="9"/>
  <c r="Y4" i="9"/>
  <c r="Y2" i="9"/>
  <c r="AL65" i="9" s="1"/>
  <c r="Z3" i="4"/>
  <c r="X4" i="4"/>
  <c r="Y4" i="4"/>
  <c r="Z4" i="4"/>
  <c r="Y5" i="4"/>
  <c r="Z5" i="4"/>
  <c r="X6" i="4"/>
  <c r="Y6" i="4"/>
  <c r="Z6" i="4"/>
  <c r="Y7" i="4"/>
  <c r="Z7" i="4"/>
  <c r="X8" i="4"/>
  <c r="Y8" i="4"/>
  <c r="Z8" i="4"/>
  <c r="Y9" i="4"/>
  <c r="Z9" i="4"/>
  <c r="Y10" i="4"/>
  <c r="Z10" i="4"/>
  <c r="X11" i="4"/>
  <c r="Y11" i="4"/>
  <c r="Z11" i="4"/>
  <c r="X12" i="4"/>
  <c r="Y12" i="4"/>
  <c r="Z12" i="4"/>
  <c r="X13" i="4"/>
  <c r="Y13" i="4"/>
  <c r="Z13" i="4"/>
  <c r="X14" i="4"/>
  <c r="Y14" i="4"/>
  <c r="Z14" i="4"/>
  <c r="Y15" i="4"/>
  <c r="Z15" i="4"/>
  <c r="X16" i="4"/>
  <c r="Y16" i="4"/>
  <c r="Z16" i="4"/>
  <c r="X17" i="4"/>
  <c r="Y17" i="4"/>
  <c r="Z17" i="4"/>
  <c r="X18" i="4"/>
  <c r="Y18" i="4"/>
  <c r="Z18" i="4"/>
  <c r="X19" i="4"/>
  <c r="Y19" i="4"/>
  <c r="Z19" i="4"/>
  <c r="Y20" i="4"/>
  <c r="Z20" i="4"/>
  <c r="Y3" i="4"/>
  <c r="X3" i="4"/>
  <c r="Z2" i="4"/>
  <c r="C49" i="4" s="1"/>
  <c r="Y2" i="4"/>
  <c r="C48" i="4" s="1"/>
  <c r="D30" i="7" l="1"/>
  <c r="A32" i="7"/>
  <c r="J31" i="7"/>
  <c r="B31" i="7"/>
  <c r="AC48" i="4"/>
  <c r="AB49" i="4"/>
  <c r="Y35" i="3" s="1"/>
  <c r="AJ48" i="4"/>
  <c r="AH48" i="4"/>
  <c r="AF48" i="4"/>
  <c r="AD48" i="4"/>
  <c r="AB48" i="4"/>
  <c r="X35" i="3" s="1"/>
  <c r="AI48" i="4"/>
  <c r="AG48" i="4"/>
  <c r="AE48" i="4"/>
  <c r="AC13" i="5"/>
  <c r="AK32" i="5"/>
  <c r="AD46" i="5"/>
  <c r="AC46" i="5"/>
  <c r="G6" i="6"/>
  <c r="H18" i="5"/>
  <c r="J14" i="5"/>
  <c r="M12" i="5"/>
  <c r="W39" i="6"/>
  <c r="D31" i="7" l="1"/>
  <c r="A33" i="7"/>
  <c r="J32" i="7"/>
  <c r="B32" i="7"/>
  <c r="V6" i="6"/>
  <c r="V14" i="6"/>
  <c r="V5" i="6" s="1"/>
  <c r="X170" i="3"/>
  <c r="X168" i="3"/>
  <c r="X167" i="3"/>
  <c r="X166" i="3"/>
  <c r="X158" i="3"/>
  <c r="X151" i="3"/>
  <c r="X145" i="3"/>
  <c r="X140" i="3"/>
  <c r="X138" i="3"/>
  <c r="X113" i="3"/>
  <c r="X112" i="3"/>
  <c r="X73" i="3"/>
  <c r="X67" i="3"/>
  <c r="X64" i="3"/>
  <c r="X62" i="3"/>
  <c r="X61" i="3"/>
  <c r="X60" i="3"/>
  <c r="X59" i="3"/>
  <c r="X58" i="3"/>
  <c r="X57" i="3"/>
  <c r="X56" i="3"/>
  <c r="AA11" i="5"/>
  <c r="D32" i="7" l="1"/>
  <c r="A34" i="7"/>
  <c r="B33" i="7"/>
  <c r="J33" i="7"/>
  <c r="H20" i="5"/>
  <c r="M20" i="5"/>
  <c r="N20" i="5"/>
  <c r="O20" i="5"/>
  <c r="P20" i="5"/>
  <c r="Q20" i="5"/>
  <c r="R20" i="5"/>
  <c r="S20" i="5" s="1"/>
  <c r="D33" i="7" l="1"/>
  <c r="A35" i="7"/>
  <c r="J34" i="7"/>
  <c r="B34" i="7"/>
  <c r="AC10" i="5"/>
  <c r="V10" i="5"/>
  <c r="R38" i="5"/>
  <c r="S38" i="5" s="1"/>
  <c r="Q38" i="5"/>
  <c r="P38" i="5"/>
  <c r="O38" i="5"/>
  <c r="R37" i="5"/>
  <c r="S37" i="5" s="1"/>
  <c r="Q37" i="5"/>
  <c r="P37" i="5"/>
  <c r="O37" i="5"/>
  <c r="R32" i="5"/>
  <c r="S32" i="5" s="1"/>
  <c r="Q32" i="5"/>
  <c r="P32" i="5"/>
  <c r="O32" i="5"/>
  <c r="O31" i="5"/>
  <c r="R30" i="5"/>
  <c r="S30" i="5" s="1"/>
  <c r="Q30" i="5"/>
  <c r="P30" i="5"/>
  <c r="O30" i="5"/>
  <c r="R29" i="5"/>
  <c r="S29" i="5" s="1"/>
  <c r="Q29" i="5"/>
  <c r="P29" i="5"/>
  <c r="O29" i="5"/>
  <c r="R25" i="5"/>
  <c r="S25" i="5" s="1"/>
  <c r="Q25" i="5"/>
  <c r="P25" i="5"/>
  <c r="O25" i="5"/>
  <c r="R24" i="5"/>
  <c r="S24" i="5" s="1"/>
  <c r="Q24" i="5"/>
  <c r="P24" i="5"/>
  <c r="O24" i="5"/>
  <c r="R22" i="5"/>
  <c r="S22" i="5" s="1"/>
  <c r="Q22" i="5"/>
  <c r="P22" i="5"/>
  <c r="O22" i="5"/>
  <c r="R21" i="5"/>
  <c r="S21" i="5" s="1"/>
  <c r="Q21" i="5"/>
  <c r="P21" i="5"/>
  <c r="O21" i="5"/>
  <c r="N21" i="5"/>
  <c r="N22" i="5"/>
  <c r="N24" i="5"/>
  <c r="N25" i="5"/>
  <c r="S18" i="5"/>
  <c r="R18" i="5"/>
  <c r="Q18" i="5"/>
  <c r="P18" i="5"/>
  <c r="O18" i="5"/>
  <c r="AD18" i="5" s="1"/>
  <c r="AD10" i="5" s="1"/>
  <c r="K18" i="5"/>
  <c r="Z18" i="5" s="1"/>
  <c r="Z10" i="5" s="1"/>
  <c r="N18" i="5"/>
  <c r="M18" i="5"/>
  <c r="D34" i="7" l="1"/>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A15" i="5"/>
  <c r="AC12" i="5"/>
  <c r="AA14" i="5"/>
  <c r="AA13" i="5"/>
  <c r="AA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AW7" i="10"/>
  <c r="AX7" i="10"/>
  <c r="AY7" i="10"/>
  <c r="BO7" i="10"/>
  <c r="BW7" i="10" s="1"/>
  <c r="AJ8" i="10"/>
  <c r="AK8" i="10"/>
  <c r="BM8" i="10"/>
  <c r="BU8" i="10" s="1"/>
  <c r="AJ9" i="10"/>
  <c r="AK9" i="10"/>
  <c r="BM9" i="10"/>
  <c r="BU9" i="10" s="1"/>
  <c r="AJ15" i="10"/>
  <c r="AK15" i="10"/>
  <c r="BM15" i="10"/>
  <c r="BU15" i="10" s="1"/>
  <c r="X23" i="10"/>
  <c r="R20" i="10"/>
  <c r="Q20" i="10"/>
  <c r="P20" i="10"/>
  <c r="O20" i="10"/>
  <c r="N20" i="10"/>
  <c r="M20" i="10"/>
  <c r="L20" i="10"/>
  <c r="K20" i="10"/>
  <c r="J20" i="10"/>
  <c r="I20" i="10"/>
  <c r="H20" i="10"/>
  <c r="G20" i="10"/>
  <c r="U20" i="10" s="1"/>
  <c r="R19" i="10"/>
  <c r="Q19" i="10"/>
  <c r="P19" i="10"/>
  <c r="O19" i="10"/>
  <c r="N19" i="10"/>
  <c r="M19" i="10"/>
  <c r="L19" i="10"/>
  <c r="K19" i="10"/>
  <c r="J19" i="10"/>
  <c r="I19" i="10"/>
  <c r="H19" i="10"/>
  <c r="G19" i="10"/>
  <c r="R18" i="10"/>
  <c r="Q18" i="10"/>
  <c r="P18" i="10"/>
  <c r="O18" i="10"/>
  <c r="N18" i="10"/>
  <c r="M18" i="10"/>
  <c r="L18" i="10"/>
  <c r="K18" i="10"/>
  <c r="H18" i="10"/>
  <c r="G18" i="10"/>
  <c r="U5" i="10"/>
  <c r="G11" i="10"/>
  <c r="H11" i="10"/>
  <c r="I11" i="10"/>
  <c r="L11" i="10"/>
  <c r="M11" i="10"/>
  <c r="N11" i="10"/>
  <c r="O11" i="10"/>
  <c r="P11" i="10"/>
  <c r="Q11" i="10"/>
  <c r="R11" i="10"/>
  <c r="G12" i="10"/>
  <c r="H12" i="10"/>
  <c r="I12" i="10"/>
  <c r="J12" i="10"/>
  <c r="K12" i="10"/>
  <c r="L12" i="10"/>
  <c r="M12" i="10"/>
  <c r="N12" i="10"/>
  <c r="O12" i="10"/>
  <c r="P12" i="10"/>
  <c r="Q12" i="10"/>
  <c r="R12" i="10"/>
  <c r="L13" i="10"/>
  <c r="G14" i="10"/>
  <c r="H14" i="10"/>
  <c r="I14" i="10"/>
  <c r="J14" i="10"/>
  <c r="K14" i="10"/>
  <c r="L14" i="10"/>
  <c r="M14" i="10"/>
  <c r="N14" i="10"/>
  <c r="O14" i="10"/>
  <c r="P14" i="10"/>
  <c r="Q14" i="10"/>
  <c r="R14" i="10"/>
  <c r="R10" i="10"/>
  <c r="Q10" i="10"/>
  <c r="P10" i="10"/>
  <c r="O10" i="10"/>
  <c r="N10" i="10"/>
  <c r="M10" i="10"/>
  <c r="L10" i="10"/>
  <c r="K10" i="10"/>
  <c r="H10" i="10"/>
  <c r="G10" i="10"/>
  <c r="AF8" i="10"/>
  <c r="AB8" i="10"/>
  <c r="AC8" i="10"/>
  <c r="AD8" i="10"/>
  <c r="AE8" i="10"/>
  <c r="F20" i="10"/>
  <c r="D20" i="10"/>
  <c r="F19" i="10"/>
  <c r="D19" i="10"/>
  <c r="F18" i="10"/>
  <c r="D18" i="10"/>
  <c r="F14" i="10"/>
  <c r="D14" i="10"/>
  <c r="F12" i="10"/>
  <c r="D12" i="10"/>
  <c r="F11" i="10"/>
  <c r="D11" i="10"/>
  <c r="F10" i="10"/>
  <c r="D10" i="10"/>
  <c r="B8" i="10"/>
  <c r="M9" i="10"/>
  <c r="AA8" i="10"/>
  <c r="Y8" i="10"/>
  <c r="L8" i="10"/>
  <c r="Z8" i="10" s="1"/>
  <c r="J9" i="10"/>
  <c r="X9" i="10" s="1"/>
  <c r="W8" i="10"/>
  <c r="V8" i="10"/>
  <c r="A1" i="10"/>
  <c r="AU2" i="9"/>
  <c r="D41" i="7" l="1"/>
  <c r="A43" i="7"/>
  <c r="J42" i="7"/>
  <c r="B42" i="7"/>
  <c r="U10" i="10"/>
  <c r="T10" i="10"/>
  <c r="AG10" i="10" s="1"/>
  <c r="T14" i="10"/>
  <c r="U14" i="10"/>
  <c r="T12" i="10"/>
  <c r="U12" i="10"/>
  <c r="U11" i="10"/>
  <c r="T11" i="10"/>
  <c r="AG11" i="10" s="1"/>
  <c r="T19" i="10"/>
  <c r="U19" i="10"/>
  <c r="T20" i="10"/>
  <c r="U18" i="10"/>
  <c r="T18" i="10"/>
  <c r="AG18" i="10" s="1"/>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Z7" i="10"/>
  <c r="BO15" i="10"/>
  <c r="BQ9" i="10"/>
  <c r="BO9" i="10"/>
  <c r="BQ8" i="10"/>
  <c r="BO8" i="10"/>
  <c r="X8" i="10"/>
  <c r="AG22" i="10" l="1"/>
  <c r="AG24" i="10" s="1"/>
  <c r="AG15" i="10"/>
  <c r="AE11" i="10"/>
  <c r="AC10" i="10"/>
  <c r="BR9" i="10"/>
  <c r="BQ15" i="10"/>
  <c r="BW8" i="10"/>
  <c r="BR8" i="10"/>
  <c r="BP15" i="10"/>
  <c r="BX15" i="10" s="1"/>
  <c r="BV9" i="10"/>
  <c r="BP8" i="10"/>
  <c r="BX8" i="10" s="1"/>
  <c r="BP9" i="10"/>
  <c r="BX9" i="10" s="1"/>
  <c r="BW15" i="10"/>
  <c r="BN15" i="10"/>
  <c r="BV15" i="10" s="1"/>
  <c r="BN8" i="10"/>
  <c r="BV8" i="10" s="1"/>
  <c r="BV7" i="10"/>
  <c r="D42" i="7"/>
  <c r="A44" i="7"/>
  <c r="B43" i="7"/>
  <c r="J43" i="7"/>
  <c r="U21" i="10"/>
  <c r="AF10" i="10"/>
  <c r="BW9" i="10"/>
  <c r="Y10" i="10"/>
  <c r="Z10" i="10"/>
  <c r="V10" i="10"/>
  <c r="AE10" i="10"/>
  <c r="AF11" i="10"/>
  <c r="AB11" i="10"/>
  <c r="W11" i="10"/>
  <c r="AA11" i="10"/>
  <c r="AC11" i="10"/>
  <c r="AB10" i="10"/>
  <c r="AD10" i="10"/>
  <c r="AA10" i="10"/>
  <c r="Z11" i="10"/>
  <c r="V11" i="10"/>
  <c r="AD11" i="10"/>
  <c r="AD20" i="10"/>
  <c r="AE20" i="10"/>
  <c r="V20" i="10"/>
  <c r="X20" i="10"/>
  <c r="Z20" i="10"/>
  <c r="AB20" i="10"/>
  <c r="AC20" i="10"/>
  <c r="W20" i="10"/>
  <c r="Y20" i="10"/>
  <c r="AA20" i="10"/>
  <c r="AF20" i="10"/>
  <c r="AD19" i="10"/>
  <c r="AE19" i="10"/>
  <c r="W19" i="10"/>
  <c r="Y19" i="10"/>
  <c r="AA19" i="10"/>
  <c r="AC19" i="10"/>
  <c r="V19" i="10"/>
  <c r="X19" i="10"/>
  <c r="Z19" i="10"/>
  <c r="AB19" i="10"/>
  <c r="AF19" i="10"/>
  <c r="AD12" i="10"/>
  <c r="AF12" i="10"/>
  <c r="W12" i="10"/>
  <c r="Y12" i="10"/>
  <c r="AA12" i="10"/>
  <c r="AC12" i="10"/>
  <c r="AE12" i="10"/>
  <c r="V12" i="10"/>
  <c r="X12" i="10"/>
  <c r="Z12" i="10"/>
  <c r="AB12" i="10"/>
  <c r="AD14" i="10"/>
  <c r="AF14" i="10"/>
  <c r="W14" i="10"/>
  <c r="Y14" i="10"/>
  <c r="AA14" i="10"/>
  <c r="AC14" i="10"/>
  <c r="AE14" i="10"/>
  <c r="V14" i="10"/>
  <c r="X14" i="10"/>
  <c r="Z14" i="10"/>
  <c r="AB14" i="10"/>
  <c r="AD18" i="10"/>
  <c r="AC18" i="10"/>
  <c r="Y18" i="10"/>
  <c r="AA18" i="10"/>
  <c r="V18" i="10"/>
  <c r="AE18" i="10"/>
  <c r="Z18" i="10"/>
  <c r="AB18" i="10"/>
  <c r="AF18" i="10"/>
  <c r="BA8" i="10"/>
  <c r="BA15" i="10"/>
  <c r="BA9" i="10"/>
  <c r="BY9" i="10"/>
  <c r="D43" i="7" l="1"/>
  <c r="A45" i="7"/>
  <c r="B44" i="7"/>
  <c r="J44" i="7"/>
  <c r="V21" i="10"/>
  <c r="D44" i="7" l="1"/>
  <c r="A46" i="7"/>
  <c r="J45" i="7"/>
  <c r="B45" i="7"/>
  <c r="A50" i="7"/>
  <c r="A42" i="6" s="1"/>
  <c r="A51" i="4" s="1"/>
  <c r="AL40" i="9" s="1"/>
  <c r="D45" i="7" l="1"/>
  <c r="A47" i="7"/>
  <c r="J46" i="7"/>
  <c r="B46" i="7"/>
  <c r="A198" i="3"/>
  <c r="AF14" i="7"/>
  <c r="AF16" i="7"/>
  <c r="AF18" i="7"/>
  <c r="D46" i="7" l="1"/>
  <c r="A48" i="7"/>
  <c r="J47" i="7"/>
  <c r="B47" i="7"/>
  <c r="J85" i="3"/>
  <c r="J86" i="3"/>
  <c r="J87" i="3"/>
  <c r="J88" i="3"/>
  <c r="J89" i="3"/>
  <c r="J90" i="3"/>
  <c r="J91" i="3"/>
  <c r="J92" i="3"/>
  <c r="J93" i="3"/>
  <c r="J94" i="3"/>
  <c r="J95" i="3"/>
  <c r="J84" i="3"/>
  <c r="D47" i="7" l="1"/>
  <c r="A49" i="7"/>
  <c r="B48" i="7"/>
  <c r="J48" i="7"/>
  <c r="M95" i="3"/>
  <c r="I95" i="3"/>
  <c r="M94" i="3"/>
  <c r="I94" i="3"/>
  <c r="M93" i="3"/>
  <c r="I93" i="3"/>
  <c r="D48" i="7" l="1"/>
  <c r="J49" i="7"/>
  <c r="B49" i="7"/>
  <c r="AA93" i="3"/>
  <c r="AA94" i="3"/>
  <c r="AA95" i="3"/>
  <c r="L162" i="3"/>
  <c r="AB155" i="3"/>
  <c r="D23" i="9"/>
  <c r="D22" i="9"/>
  <c r="D21" i="9"/>
  <c r="D20" i="9"/>
  <c r="D19" i="9"/>
  <c r="D17" i="9"/>
  <c r="D16" i="9"/>
  <c r="D15" i="9"/>
  <c r="D14" i="9"/>
  <c r="D13" i="9"/>
  <c r="D12" i="9"/>
  <c r="D11" i="9"/>
  <c r="D10" i="9"/>
  <c r="D9" i="9"/>
  <c r="D8" i="9"/>
  <c r="D6" i="9"/>
  <c r="AN6" i="9" s="1"/>
  <c r="D5" i="9"/>
  <c r="AN5" i="9" s="1"/>
  <c r="B23" i="9"/>
  <c r="AO6" i="9" l="1"/>
  <c r="AP6" i="9"/>
  <c r="AN4" i="9"/>
  <c r="D49" i="7"/>
  <c r="AT4" i="9"/>
  <c r="AQ4" i="9"/>
  <c r="AS4" i="9"/>
  <c r="AU4" i="9"/>
  <c r="AR4" i="9"/>
  <c r="N38" i="5"/>
  <c r="M38" i="5"/>
  <c r="L38" i="5"/>
  <c r="K38" i="5"/>
  <c r="J38" i="5"/>
  <c r="I38" i="5"/>
  <c r="H38" i="5"/>
  <c r="G38" i="5"/>
  <c r="T38" i="5" s="1"/>
  <c r="F38" i="5"/>
  <c r="D38" i="5"/>
  <c r="D37" i="5"/>
  <c r="N32" i="5"/>
  <c r="M32" i="5"/>
  <c r="L32" i="5"/>
  <c r="K32" i="5"/>
  <c r="J32" i="5"/>
  <c r="I32" i="5"/>
  <c r="H32" i="5"/>
  <c r="G32" i="5"/>
  <c r="T32" i="5" s="1"/>
  <c r="F32" i="5"/>
  <c r="D32" i="5"/>
  <c r="D31" i="5"/>
  <c r="N29" i="5"/>
  <c r="M29" i="5"/>
  <c r="L29" i="5"/>
  <c r="K29" i="5"/>
  <c r="J29" i="5"/>
  <c r="I29" i="5"/>
  <c r="H29" i="5"/>
  <c r="G29" i="5"/>
  <c r="T29" i="5" s="1"/>
  <c r="F29" i="5"/>
  <c r="D29" i="5"/>
  <c r="M25" i="5"/>
  <c r="L25" i="5"/>
  <c r="K25" i="5"/>
  <c r="J25" i="5"/>
  <c r="I25" i="5"/>
  <c r="H25" i="5"/>
  <c r="G25" i="5"/>
  <c r="T25" i="5" s="1"/>
  <c r="F25" i="5"/>
  <c r="D25" i="5"/>
  <c r="M24" i="5"/>
  <c r="L24" i="5"/>
  <c r="K24" i="5"/>
  <c r="J24" i="5"/>
  <c r="I24" i="5"/>
  <c r="H24" i="5"/>
  <c r="G24" i="5"/>
  <c r="T24" i="5" s="1"/>
  <c r="F24" i="5"/>
  <c r="D24" i="5"/>
  <c r="M22" i="5"/>
  <c r="L22" i="5"/>
  <c r="K22" i="5"/>
  <c r="J22" i="5"/>
  <c r="I22" i="5"/>
  <c r="H22" i="5"/>
  <c r="G22" i="5"/>
  <c r="T22" i="5" s="1"/>
  <c r="F22" i="5"/>
  <c r="M21" i="5"/>
  <c r="L21" i="5"/>
  <c r="I21" i="5"/>
  <c r="H21" i="5"/>
  <c r="G21" i="5"/>
  <c r="T21" i="5" s="1"/>
  <c r="F21" i="5"/>
  <c r="D21" i="5"/>
  <c r="G20" i="5"/>
  <c r="T20" i="5" s="1"/>
  <c r="F20" i="5"/>
  <c r="D20" i="5"/>
  <c r="AN25" i="9" l="1"/>
  <c r="AK38" i="5"/>
  <c r="AU25" i="9"/>
  <c r="AQ25" i="9"/>
  <c r="AT25" i="9"/>
  <c r="AR25" i="9"/>
  <c r="AS25" i="9"/>
  <c r="V20" i="5"/>
  <c r="AI20" i="5" s="1"/>
  <c r="AK25" i="5"/>
  <c r="AK22" i="5"/>
  <c r="AK24" i="5"/>
  <c r="AK29" i="5"/>
  <c r="AK31" i="5"/>
  <c r="B43" i="3"/>
  <c r="B36" i="3"/>
  <c r="D13" i="10" s="1"/>
  <c r="B37" i="3"/>
  <c r="B38" i="3"/>
  <c r="B39" i="3"/>
  <c r="B40" i="3"/>
  <c r="B41" i="3"/>
  <c r="B42" i="3"/>
  <c r="B35" i="3"/>
  <c r="O4" i="4"/>
  <c r="O5" i="4"/>
  <c r="O6" i="4"/>
  <c r="O7" i="4"/>
  <c r="O8" i="4"/>
  <c r="O9" i="4"/>
  <c r="O10" i="4"/>
  <c r="O11" i="4"/>
  <c r="O12" i="4"/>
  <c r="O13" i="4"/>
  <c r="O14" i="4"/>
  <c r="O15" i="4"/>
  <c r="O16" i="4"/>
  <c r="O17" i="4"/>
  <c r="O18" i="4"/>
  <c r="O19" i="4"/>
  <c r="O20" i="4"/>
  <c r="O3" i="4"/>
  <c r="O2" i="4"/>
  <c r="C38" i="4" s="1"/>
  <c r="AM11" i="9"/>
  <c r="AM12" i="9"/>
  <c r="AM13" i="9"/>
  <c r="AM14" i="9"/>
  <c r="AM15" i="9"/>
  <c r="AM16" i="9"/>
  <c r="AM17" i="9"/>
  <c r="AM18" i="9"/>
  <c r="AM19" i="9"/>
  <c r="AM20" i="9"/>
  <c r="AM21" i="9"/>
  <c r="AM22" i="9"/>
  <c r="AM23" i="9"/>
  <c r="AM24" i="9"/>
  <c r="AM5" i="9"/>
  <c r="AM6" i="9"/>
  <c r="AM7" i="9"/>
  <c r="AM8" i="9"/>
  <c r="AM9" i="9"/>
  <c r="AM10" i="9"/>
  <c r="S20" i="4"/>
  <c r="B20" i="4"/>
  <c r="S19" i="4"/>
  <c r="B19" i="4"/>
  <c r="B18" i="4"/>
  <c r="S17" i="4"/>
  <c r="B17" i="4"/>
  <c r="S16" i="4"/>
  <c r="P16" i="4"/>
  <c r="H16" i="4"/>
  <c r="D16" i="4"/>
  <c r="B16" i="4"/>
  <c r="T15" i="4"/>
  <c r="S15" i="4"/>
  <c r="R15" i="4"/>
  <c r="Q15" i="4"/>
  <c r="P15" i="4"/>
  <c r="H15" i="4"/>
  <c r="G15" i="4"/>
  <c r="E15" i="4"/>
  <c r="D15" i="4"/>
  <c r="B15" i="4"/>
  <c r="S14" i="4"/>
  <c r="P14" i="4"/>
  <c r="H14" i="4"/>
  <c r="D14" i="4"/>
  <c r="B14" i="4"/>
  <c r="W13" i="4"/>
  <c r="V13" i="4"/>
  <c r="U13" i="4"/>
  <c r="T13" i="4"/>
  <c r="S13" i="4"/>
  <c r="R13" i="4"/>
  <c r="Q13" i="4"/>
  <c r="P13" i="4"/>
  <c r="H13" i="4"/>
  <c r="G13" i="4"/>
  <c r="F13" i="4"/>
  <c r="E13" i="4"/>
  <c r="D13" i="4"/>
  <c r="B13" i="4"/>
  <c r="W12" i="4"/>
  <c r="V12" i="4"/>
  <c r="U12" i="4"/>
  <c r="T12" i="4"/>
  <c r="S12" i="4"/>
  <c r="R12" i="4"/>
  <c r="Q12" i="4"/>
  <c r="P12" i="4"/>
  <c r="H12" i="4"/>
  <c r="G12" i="4"/>
  <c r="E12" i="4"/>
  <c r="D12" i="4"/>
  <c r="B12" i="4"/>
  <c r="T11" i="4"/>
  <c r="S11" i="4"/>
  <c r="R11" i="4"/>
  <c r="Q11" i="4"/>
  <c r="P11" i="4"/>
  <c r="H11" i="4"/>
  <c r="G11" i="4"/>
  <c r="F11" i="4"/>
  <c r="E11" i="4"/>
  <c r="D11" i="4"/>
  <c r="B11" i="4"/>
  <c r="V10" i="4"/>
  <c r="T10" i="4"/>
  <c r="S10" i="4"/>
  <c r="R10" i="4"/>
  <c r="Q10" i="4"/>
  <c r="P10" i="4"/>
  <c r="H10" i="4"/>
  <c r="G10" i="4"/>
  <c r="E10" i="4"/>
  <c r="D10" i="4"/>
  <c r="B10" i="4"/>
  <c r="W9" i="4"/>
  <c r="V9" i="4"/>
  <c r="U9" i="4"/>
  <c r="T9" i="4"/>
  <c r="S9" i="4"/>
  <c r="R9" i="4"/>
  <c r="Q9" i="4"/>
  <c r="P9" i="4"/>
  <c r="M9" i="4"/>
  <c r="L9" i="4"/>
  <c r="H9" i="4"/>
  <c r="G9" i="4"/>
  <c r="F9" i="4"/>
  <c r="E9" i="4"/>
  <c r="D9" i="4"/>
  <c r="B9" i="4"/>
  <c r="B8" i="4"/>
  <c r="W7" i="4"/>
  <c r="V7" i="4"/>
  <c r="T7" i="4"/>
  <c r="S7" i="4"/>
  <c r="R7" i="4"/>
  <c r="Q7" i="4"/>
  <c r="P7" i="4"/>
  <c r="M7" i="4"/>
  <c r="L7" i="4"/>
  <c r="H7" i="4"/>
  <c r="G7" i="4"/>
  <c r="F7" i="4"/>
  <c r="E7" i="4"/>
  <c r="D7" i="4"/>
  <c r="B7" i="4"/>
  <c r="W6" i="4"/>
  <c r="T6" i="4"/>
  <c r="S6" i="4"/>
  <c r="R6" i="4"/>
  <c r="Q6" i="4"/>
  <c r="P6" i="4"/>
  <c r="M6" i="4"/>
  <c r="L6" i="4"/>
  <c r="H6" i="4"/>
  <c r="G6" i="4"/>
  <c r="E6" i="4"/>
  <c r="D6" i="4"/>
  <c r="B6" i="4"/>
  <c r="T5" i="4"/>
  <c r="S5" i="4"/>
  <c r="R5" i="4"/>
  <c r="Q5" i="4"/>
  <c r="P5" i="4"/>
  <c r="M5" i="4"/>
  <c r="L5" i="4"/>
  <c r="H5" i="4"/>
  <c r="G5" i="4"/>
  <c r="E5" i="4"/>
  <c r="D5" i="4"/>
  <c r="B5" i="4"/>
  <c r="W4" i="4"/>
  <c r="V4" i="4"/>
  <c r="U4" i="4"/>
  <c r="T4" i="4"/>
  <c r="S4" i="4"/>
  <c r="R4" i="4"/>
  <c r="Q4" i="4"/>
  <c r="P4" i="4"/>
  <c r="H4" i="4"/>
  <c r="G4" i="4"/>
  <c r="E4" i="4"/>
  <c r="D4" i="4"/>
  <c r="B4" i="4"/>
  <c r="W3" i="4"/>
  <c r="V3" i="4"/>
  <c r="U3" i="4"/>
  <c r="T3" i="4"/>
  <c r="S3" i="4"/>
  <c r="R3" i="4"/>
  <c r="Q3" i="4"/>
  <c r="P3" i="4"/>
  <c r="M3" i="4"/>
  <c r="L3" i="4"/>
  <c r="H3" i="4"/>
  <c r="G3" i="4"/>
  <c r="E3" i="4"/>
  <c r="D3" i="4"/>
  <c r="B3" i="4"/>
  <c r="S23" i="9"/>
  <c r="S22" i="9"/>
  <c r="B22" i="9"/>
  <c r="S21" i="9"/>
  <c r="B21" i="9"/>
  <c r="B20" i="9"/>
  <c r="X19" i="9"/>
  <c r="W19" i="9"/>
  <c r="V19" i="9"/>
  <c r="U19" i="9"/>
  <c r="T19" i="9"/>
  <c r="S19" i="9"/>
  <c r="R19" i="9"/>
  <c r="Q19" i="9"/>
  <c r="P19" i="9"/>
  <c r="N19" i="9"/>
  <c r="H19" i="9"/>
  <c r="G19" i="9"/>
  <c r="F19" i="9"/>
  <c r="E19" i="9"/>
  <c r="B19" i="9"/>
  <c r="S18" i="9"/>
  <c r="B18" i="9"/>
  <c r="X17" i="9"/>
  <c r="W17" i="9"/>
  <c r="V17" i="9"/>
  <c r="U17" i="9"/>
  <c r="T17" i="9"/>
  <c r="S17" i="9"/>
  <c r="R17" i="9"/>
  <c r="Q17" i="9"/>
  <c r="P17" i="9"/>
  <c r="N17" i="9"/>
  <c r="H17" i="9"/>
  <c r="G17" i="9"/>
  <c r="F17" i="9"/>
  <c r="E17" i="9"/>
  <c r="B17" i="9"/>
  <c r="X16" i="9"/>
  <c r="W16" i="9"/>
  <c r="V16" i="9"/>
  <c r="U16" i="9"/>
  <c r="T16" i="9"/>
  <c r="S16" i="9"/>
  <c r="R16" i="9"/>
  <c r="Q16" i="9"/>
  <c r="P16" i="9"/>
  <c r="N16" i="9"/>
  <c r="M16" i="9"/>
  <c r="L16" i="9"/>
  <c r="H16" i="9"/>
  <c r="G16" i="9"/>
  <c r="F16" i="9"/>
  <c r="E16" i="9"/>
  <c r="B16" i="9"/>
  <c r="S15" i="9"/>
  <c r="B15" i="9"/>
  <c r="T14" i="9"/>
  <c r="S14" i="9"/>
  <c r="R14" i="9"/>
  <c r="Q14" i="9"/>
  <c r="P14" i="9"/>
  <c r="N14" i="9"/>
  <c r="M14" i="9"/>
  <c r="L14" i="9"/>
  <c r="H14" i="9"/>
  <c r="G14" i="9"/>
  <c r="F14" i="9"/>
  <c r="E14" i="9"/>
  <c r="B14" i="9"/>
  <c r="S13" i="9"/>
  <c r="B13" i="9"/>
  <c r="X12" i="9"/>
  <c r="W12" i="9"/>
  <c r="V12" i="9"/>
  <c r="T12" i="9"/>
  <c r="S12" i="9"/>
  <c r="R12" i="9"/>
  <c r="Q12" i="9"/>
  <c r="P12" i="9"/>
  <c r="O12" i="9"/>
  <c r="N12" i="9"/>
  <c r="M12" i="9"/>
  <c r="L12" i="9"/>
  <c r="H12" i="9"/>
  <c r="G12" i="9"/>
  <c r="F12" i="9"/>
  <c r="E12" i="9"/>
  <c r="B12" i="9"/>
  <c r="X11" i="9"/>
  <c r="W11" i="9"/>
  <c r="T11" i="9"/>
  <c r="S11" i="9"/>
  <c r="R11" i="9"/>
  <c r="Q11" i="9"/>
  <c r="P11" i="9"/>
  <c r="O11" i="9"/>
  <c r="N11" i="9"/>
  <c r="M11" i="9"/>
  <c r="L11" i="9"/>
  <c r="H11" i="9"/>
  <c r="F11" i="9"/>
  <c r="E11" i="9"/>
  <c r="B11" i="9"/>
  <c r="X10" i="9"/>
  <c r="W10" i="9"/>
  <c r="V10" i="9"/>
  <c r="U10" i="9"/>
  <c r="T10" i="9"/>
  <c r="S10" i="9"/>
  <c r="R10" i="9"/>
  <c r="Q10" i="9"/>
  <c r="P10" i="9"/>
  <c r="N10" i="9"/>
  <c r="M10" i="9"/>
  <c r="L10" i="9"/>
  <c r="H10" i="9"/>
  <c r="G10" i="9"/>
  <c r="F10" i="9"/>
  <c r="E10" i="9"/>
  <c r="B10" i="9"/>
  <c r="B9" i="9"/>
  <c r="X8" i="9"/>
  <c r="W8" i="9"/>
  <c r="V8" i="9"/>
  <c r="U8" i="9"/>
  <c r="T8" i="9"/>
  <c r="S8" i="9"/>
  <c r="R8" i="9"/>
  <c r="Q8" i="9"/>
  <c r="P8" i="9"/>
  <c r="O8" i="9"/>
  <c r="N8" i="9"/>
  <c r="M8" i="9"/>
  <c r="L8" i="9"/>
  <c r="J8" i="9"/>
  <c r="I8" i="9"/>
  <c r="H8" i="9"/>
  <c r="G8" i="9"/>
  <c r="F8" i="9"/>
  <c r="E8" i="9"/>
  <c r="B8" i="9"/>
  <c r="B7" i="9"/>
  <c r="X6" i="9"/>
  <c r="W6" i="9"/>
  <c r="V6" i="9"/>
  <c r="U6" i="9"/>
  <c r="T6" i="9"/>
  <c r="S6" i="9"/>
  <c r="R6" i="9"/>
  <c r="Q6" i="9"/>
  <c r="P6" i="9"/>
  <c r="O6" i="9"/>
  <c r="N6" i="9"/>
  <c r="M6" i="9"/>
  <c r="L6" i="9"/>
  <c r="I6" i="9"/>
  <c r="H6" i="9"/>
  <c r="G6" i="9"/>
  <c r="F6" i="9"/>
  <c r="E6" i="9"/>
  <c r="B6" i="9"/>
  <c r="AL6" i="9" s="1"/>
  <c r="X5" i="9"/>
  <c r="W5" i="9"/>
  <c r="V5" i="9"/>
  <c r="U5" i="9"/>
  <c r="T5" i="9"/>
  <c r="S5" i="9"/>
  <c r="R5" i="9"/>
  <c r="Q5" i="9"/>
  <c r="P5" i="9"/>
  <c r="O5" i="9"/>
  <c r="N5" i="9"/>
  <c r="M5" i="9"/>
  <c r="L5" i="9"/>
  <c r="J5" i="9"/>
  <c r="I5" i="9"/>
  <c r="H5" i="9"/>
  <c r="G5" i="9"/>
  <c r="F5" i="9"/>
  <c r="E5" i="9"/>
  <c r="B5" i="9"/>
  <c r="X4" i="9"/>
  <c r="W4" i="9"/>
  <c r="V4" i="9"/>
  <c r="U4" i="9"/>
  <c r="T4" i="9"/>
  <c r="S4" i="9"/>
  <c r="R4" i="9"/>
  <c r="Q4" i="9"/>
  <c r="P4" i="9"/>
  <c r="N4" i="9"/>
  <c r="M4" i="9"/>
  <c r="L4" i="9"/>
  <c r="H4" i="9"/>
  <c r="F4" i="9"/>
  <c r="E4" i="9"/>
  <c r="B4" i="9"/>
  <c r="W172" i="3"/>
  <c r="U172" i="3"/>
  <c r="L172" i="3"/>
  <c r="M172" i="3" s="1"/>
  <c r="K172" i="3"/>
  <c r="E172" i="3"/>
  <c r="H172" i="3" s="1"/>
  <c r="I172" i="3" s="1"/>
  <c r="L171" i="3"/>
  <c r="M171" i="3" s="1"/>
  <c r="K171" i="3"/>
  <c r="H171" i="3"/>
  <c r="I171" i="3" s="1"/>
  <c r="W170" i="3"/>
  <c r="V170" i="3"/>
  <c r="U170" i="3"/>
  <c r="T170" i="3"/>
  <c r="S170" i="3"/>
  <c r="Q170" i="3"/>
  <c r="AB170" i="3" s="1"/>
  <c r="P170" i="3"/>
  <c r="L170" i="3"/>
  <c r="K170" i="3"/>
  <c r="F170" i="3"/>
  <c r="D170" i="3"/>
  <c r="E170" i="3" s="1"/>
  <c r="M169" i="3"/>
  <c r="E169" i="3"/>
  <c r="H169" i="3" s="1"/>
  <c r="I169" i="3" s="1"/>
  <c r="W168" i="3"/>
  <c r="V168" i="3"/>
  <c r="U168" i="3"/>
  <c r="T168" i="3"/>
  <c r="L168" i="3"/>
  <c r="M168" i="3" s="1"/>
  <c r="K168" i="3"/>
  <c r="H168" i="3"/>
  <c r="I168" i="3" s="1"/>
  <c r="W167" i="3"/>
  <c r="T167" i="3"/>
  <c r="L167" i="3"/>
  <c r="K167" i="3"/>
  <c r="H167" i="3"/>
  <c r="I167" i="3" s="1"/>
  <c r="W166" i="3"/>
  <c r="V166" i="3"/>
  <c r="W11" i="4" s="1"/>
  <c r="U166" i="3"/>
  <c r="V11" i="4" s="1"/>
  <c r="T166" i="3"/>
  <c r="U11" i="4" s="1"/>
  <c r="L166" i="3"/>
  <c r="M166" i="3" s="1"/>
  <c r="K166" i="3"/>
  <c r="H166" i="3"/>
  <c r="I166" i="3" s="1"/>
  <c r="L165" i="3"/>
  <c r="M165" i="3" s="1"/>
  <c r="K165" i="3"/>
  <c r="H165" i="3"/>
  <c r="I165" i="3" s="1"/>
  <c r="L164" i="3"/>
  <c r="M164" i="3" s="1"/>
  <c r="K164" i="3"/>
  <c r="H164" i="3"/>
  <c r="I164" i="3" s="1"/>
  <c r="L163" i="3"/>
  <c r="M163" i="3" s="1"/>
  <c r="K163" i="3"/>
  <c r="H163" i="3"/>
  <c r="I163" i="3" s="1"/>
  <c r="M162" i="3"/>
  <c r="N11" i="4" s="1"/>
  <c r="K162" i="3"/>
  <c r="L11" i="4" s="1"/>
  <c r="H162" i="3"/>
  <c r="I162" i="3" s="1"/>
  <c r="L161" i="3"/>
  <c r="M161" i="3" s="1"/>
  <c r="K161" i="3"/>
  <c r="H161" i="3"/>
  <c r="I161" i="3" s="1"/>
  <c r="E160" i="3"/>
  <c r="H160" i="3" s="1"/>
  <c r="I160" i="3" s="1"/>
  <c r="H159" i="3"/>
  <c r="I159" i="3" s="1"/>
  <c r="W158" i="3"/>
  <c r="V158" i="3"/>
  <c r="W10" i="4" s="1"/>
  <c r="T158" i="3"/>
  <c r="U10" i="4" s="1"/>
  <c r="M158" i="3"/>
  <c r="H158" i="3"/>
  <c r="I158" i="3" s="1"/>
  <c r="M157" i="3"/>
  <c r="I157" i="3"/>
  <c r="M156" i="3"/>
  <c r="I156" i="3"/>
  <c r="L155" i="3"/>
  <c r="M155" i="3" s="1"/>
  <c r="K155" i="3"/>
  <c r="L10" i="4" s="1"/>
  <c r="H155" i="3"/>
  <c r="I155" i="3" s="1"/>
  <c r="L154" i="3"/>
  <c r="M154" i="3" s="1"/>
  <c r="K154" i="3"/>
  <c r="H154" i="3"/>
  <c r="I154" i="3" s="1"/>
  <c r="L153" i="3"/>
  <c r="M153" i="3" s="1"/>
  <c r="K153" i="3"/>
  <c r="H153" i="3"/>
  <c r="I153" i="3" s="1"/>
  <c r="W152" i="3"/>
  <c r="X20" i="4" s="1"/>
  <c r="M152" i="3"/>
  <c r="E152" i="3"/>
  <c r="H152" i="3" s="1"/>
  <c r="I152" i="3" s="1"/>
  <c r="W151" i="3"/>
  <c r="V151" i="3"/>
  <c r="U151" i="3"/>
  <c r="T151" i="3"/>
  <c r="S151" i="3"/>
  <c r="Q151" i="3"/>
  <c r="P151" i="3"/>
  <c r="L151" i="3"/>
  <c r="K151" i="3"/>
  <c r="F151" i="3"/>
  <c r="D151" i="3"/>
  <c r="E151" i="3" s="1"/>
  <c r="L150" i="3"/>
  <c r="M150" i="3" s="1"/>
  <c r="K150" i="3"/>
  <c r="H150" i="3"/>
  <c r="I150" i="3" s="1"/>
  <c r="L149" i="3"/>
  <c r="M149" i="3" s="1"/>
  <c r="K149" i="3"/>
  <c r="H149" i="3"/>
  <c r="I149" i="3" s="1"/>
  <c r="M148" i="3"/>
  <c r="H148" i="3"/>
  <c r="I148" i="3" s="1"/>
  <c r="V147" i="3"/>
  <c r="U147" i="3"/>
  <c r="M147" i="3"/>
  <c r="E147" i="3"/>
  <c r="H147" i="3" s="1"/>
  <c r="I147" i="3" s="1"/>
  <c r="L146" i="3"/>
  <c r="M146" i="3" s="1"/>
  <c r="N12" i="4" s="1"/>
  <c r="K146" i="3"/>
  <c r="L12" i="4" s="1"/>
  <c r="E146" i="3"/>
  <c r="F12" i="4" s="1"/>
  <c r="W145" i="3"/>
  <c r="L145" i="3"/>
  <c r="M145" i="3" s="1"/>
  <c r="K145" i="3"/>
  <c r="H145" i="3"/>
  <c r="I145" i="3" s="1"/>
  <c r="L144" i="3"/>
  <c r="M144" i="3" s="1"/>
  <c r="K144" i="3"/>
  <c r="H144" i="3"/>
  <c r="I144" i="3" s="1"/>
  <c r="L143" i="3"/>
  <c r="M143" i="3" s="1"/>
  <c r="K143" i="3"/>
  <c r="L15" i="4" s="1"/>
  <c r="H143" i="3"/>
  <c r="I143" i="3" s="1"/>
  <c r="L142" i="3"/>
  <c r="M142" i="3" s="1"/>
  <c r="K142" i="3"/>
  <c r="H142" i="3"/>
  <c r="I142" i="3" s="1"/>
  <c r="M141" i="3"/>
  <c r="E141" i="3"/>
  <c r="H141" i="3" s="1"/>
  <c r="I141" i="3" s="1"/>
  <c r="W140" i="3"/>
  <c r="V140" i="3"/>
  <c r="U140" i="3"/>
  <c r="T140" i="3"/>
  <c r="L140" i="3"/>
  <c r="M140" i="3" s="1"/>
  <c r="K140" i="3"/>
  <c r="H140" i="3"/>
  <c r="I140" i="3" s="1"/>
  <c r="L139" i="3"/>
  <c r="M139" i="3" s="1"/>
  <c r="K139" i="3"/>
  <c r="L4" i="4" s="1"/>
  <c r="H139" i="3"/>
  <c r="I139" i="3" s="1"/>
  <c r="W138" i="3"/>
  <c r="V138" i="3"/>
  <c r="W16" i="4" s="1"/>
  <c r="U138" i="3"/>
  <c r="V16" i="4" s="1"/>
  <c r="T138" i="3"/>
  <c r="U16" i="4" s="1"/>
  <c r="S138" i="3"/>
  <c r="T16" i="4" s="1"/>
  <c r="Q138" i="3"/>
  <c r="R16" i="4" s="1"/>
  <c r="P138" i="3"/>
  <c r="Q16" i="4" s="1"/>
  <c r="L138" i="3"/>
  <c r="M16" i="4" s="1"/>
  <c r="K138" i="3"/>
  <c r="F138" i="3"/>
  <c r="G16" i="4" s="1"/>
  <c r="D138" i="3"/>
  <c r="E138" i="3" s="1"/>
  <c r="M137" i="3"/>
  <c r="E137" i="3"/>
  <c r="F14" i="4" s="1"/>
  <c r="W136" i="3"/>
  <c r="X10" i="4" s="1"/>
  <c r="M136" i="3"/>
  <c r="H136" i="3"/>
  <c r="I136" i="3" s="1"/>
  <c r="M135" i="3"/>
  <c r="E135" i="3"/>
  <c r="F16" i="4" s="1"/>
  <c r="N6" i="4" l="1"/>
  <c r="K20" i="5"/>
  <c r="M4" i="4"/>
  <c r="N4" i="4"/>
  <c r="N10" i="4"/>
  <c r="X7" i="4"/>
  <c r="X9" i="4"/>
  <c r="I7" i="4"/>
  <c r="F6" i="4"/>
  <c r="N3" i="4"/>
  <c r="L13" i="4"/>
  <c r="N13" i="4"/>
  <c r="D30" i="5"/>
  <c r="D23" i="5"/>
  <c r="J13" i="4"/>
  <c r="F3" i="4"/>
  <c r="F4" i="4"/>
  <c r="F5" i="4"/>
  <c r="AD38" i="4"/>
  <c r="N37" i="3" s="1"/>
  <c r="AC38" i="4"/>
  <c r="N36" i="3" s="1"/>
  <c r="AJ38" i="4"/>
  <c r="N43" i="3" s="1"/>
  <c r="AH38" i="4"/>
  <c r="N41" i="3" s="1"/>
  <c r="AF38" i="4"/>
  <c r="N39" i="3" s="1"/>
  <c r="AB38" i="4"/>
  <c r="N35" i="3" s="1"/>
  <c r="O23" i="5" s="1"/>
  <c r="AI38" i="4"/>
  <c r="N42" i="3" s="1"/>
  <c r="AG38" i="4"/>
  <c r="N40" i="3" s="1"/>
  <c r="AE38" i="4"/>
  <c r="N38" i="3" s="1"/>
  <c r="H135" i="3"/>
  <c r="I20" i="5" s="1"/>
  <c r="H137" i="3"/>
  <c r="I137" i="3" s="1"/>
  <c r="J4" i="4" s="1"/>
  <c r="H138" i="3"/>
  <c r="I138" i="3" s="1"/>
  <c r="J16" i="4" s="1"/>
  <c r="L16" i="4"/>
  <c r="H146" i="3"/>
  <c r="I146" i="3" s="1"/>
  <c r="J12" i="4" s="1"/>
  <c r="H151" i="3"/>
  <c r="I151" i="3" s="1"/>
  <c r="M167" i="3"/>
  <c r="G14" i="4"/>
  <c r="L14" i="4"/>
  <c r="R14" i="4"/>
  <c r="T14" i="4"/>
  <c r="V14" i="4"/>
  <c r="F10" i="4"/>
  <c r="E14" i="4"/>
  <c r="M14" i="4"/>
  <c r="Q14" i="4"/>
  <c r="U14" i="4"/>
  <c r="W14" i="4"/>
  <c r="M15" i="4"/>
  <c r="E16" i="4"/>
  <c r="J10" i="4"/>
  <c r="I14" i="4"/>
  <c r="M170" i="3"/>
  <c r="F15" i="4"/>
  <c r="I10" i="4"/>
  <c r="M10" i="4"/>
  <c r="M11" i="4"/>
  <c r="I12" i="4"/>
  <c r="M12" i="4"/>
  <c r="I13" i="4"/>
  <c r="M13" i="4"/>
  <c r="I16" i="4"/>
  <c r="M138" i="3"/>
  <c r="N16" i="4" s="1"/>
  <c r="M151" i="3"/>
  <c r="H170" i="3"/>
  <c r="I170" i="3" s="1"/>
  <c r="I4" i="4" l="1"/>
  <c r="I3" i="4"/>
  <c r="I6" i="4"/>
  <c r="I135" i="3"/>
  <c r="J6" i="4" s="1"/>
  <c r="I5" i="4"/>
  <c r="N14" i="4"/>
  <c r="J14" i="4"/>
  <c r="J3" i="4" l="1"/>
  <c r="U6" i="4"/>
  <c r="U11" i="9"/>
  <c r="U7" i="4"/>
  <c r="U12" i="9"/>
  <c r="V6" i="4"/>
  <c r="V11" i="9"/>
  <c r="BE24" i="9" l="1"/>
  <c r="BD24" i="9"/>
  <c r="BC24" i="9"/>
  <c r="BB24" i="9"/>
  <c r="BA24" i="9"/>
  <c r="AZ24" i="9"/>
  <c r="AY24" i="9"/>
  <c r="AX24" i="9"/>
  <c r="BE23" i="9"/>
  <c r="BD23" i="9"/>
  <c r="BC23" i="9"/>
  <c r="BB23" i="9"/>
  <c r="BA23" i="9"/>
  <c r="AZ23" i="9"/>
  <c r="AY23" i="9"/>
  <c r="BE22" i="9"/>
  <c r="BD22" i="9"/>
  <c r="BC22" i="9"/>
  <c r="BB22" i="9"/>
  <c r="BA22" i="9"/>
  <c r="AZ22" i="9"/>
  <c r="AY22" i="9"/>
  <c r="BE21" i="9"/>
  <c r="BD21" i="9"/>
  <c r="BC21" i="9"/>
  <c r="BB21" i="9"/>
  <c r="BA21" i="9"/>
  <c r="AZ21" i="9"/>
  <c r="AY21" i="9"/>
  <c r="BE20" i="9"/>
  <c r="BD20" i="9"/>
  <c r="BC20" i="9"/>
  <c r="BB20" i="9"/>
  <c r="BA20" i="9"/>
  <c r="AZ20" i="9"/>
  <c r="AY20" i="9"/>
  <c r="BE19" i="9"/>
  <c r="BD19" i="9"/>
  <c r="BC19" i="9"/>
  <c r="BB19" i="9"/>
  <c r="BA19" i="9"/>
  <c r="AZ19" i="9"/>
  <c r="AY19" i="9"/>
  <c r="BE18" i="9"/>
  <c r="BD18" i="9"/>
  <c r="BC18" i="9"/>
  <c r="BB18" i="9"/>
  <c r="BA18" i="9"/>
  <c r="AZ18" i="9"/>
  <c r="AY18" i="9"/>
  <c r="BE17" i="9"/>
  <c r="BD17" i="9"/>
  <c r="BC17" i="9"/>
  <c r="BB17" i="9"/>
  <c r="BA17" i="9"/>
  <c r="AZ17" i="9"/>
  <c r="AY17" i="9"/>
  <c r="BE15" i="9"/>
  <c r="BD15" i="9"/>
  <c r="BC15" i="9"/>
  <c r="BB15" i="9"/>
  <c r="BA15" i="9"/>
  <c r="AZ15" i="9"/>
  <c r="AY15" i="9"/>
  <c r="BE14" i="9"/>
  <c r="BD14" i="9"/>
  <c r="BC14" i="9"/>
  <c r="BB14" i="9"/>
  <c r="BA14" i="9"/>
  <c r="AZ14" i="9"/>
  <c r="AY14" i="9"/>
  <c r="BE13" i="9"/>
  <c r="BD13" i="9"/>
  <c r="BC13" i="9"/>
  <c r="BB13" i="9"/>
  <c r="AZ13" i="9"/>
  <c r="AY13" i="9"/>
  <c r="BE12" i="9"/>
  <c r="BD12" i="9"/>
  <c r="BC12" i="9"/>
  <c r="BB12" i="9"/>
  <c r="BA12" i="9"/>
  <c r="AZ12" i="9"/>
  <c r="AY12" i="9"/>
  <c r="BE11" i="9"/>
  <c r="BD11" i="9"/>
  <c r="BC11" i="9"/>
  <c r="BB11" i="9"/>
  <c r="BA11" i="9"/>
  <c r="AZ11" i="9"/>
  <c r="AY11" i="9"/>
  <c r="BE10" i="9"/>
  <c r="BD10" i="9"/>
  <c r="BC10" i="9"/>
  <c r="BB10" i="9"/>
  <c r="BA10" i="9"/>
  <c r="AZ10" i="9"/>
  <c r="AY10" i="9"/>
  <c r="BE9" i="9"/>
  <c r="BD9" i="9"/>
  <c r="BC9" i="9"/>
  <c r="BB9" i="9"/>
  <c r="BA9" i="9"/>
  <c r="AZ9" i="9"/>
  <c r="AY9" i="9"/>
  <c r="BE8" i="9"/>
  <c r="BD8" i="9"/>
  <c r="BC8" i="9"/>
  <c r="BB8" i="9"/>
  <c r="BA8" i="9"/>
  <c r="AZ8" i="9"/>
  <c r="AY8" i="9"/>
  <c r="BC7" i="9"/>
  <c r="BB7" i="9"/>
  <c r="BA7" i="9"/>
  <c r="AZ7" i="9"/>
  <c r="AY7" i="9"/>
  <c r="BE6" i="9"/>
  <c r="BD6" i="9"/>
  <c r="BC6" i="9"/>
  <c r="BB6" i="9"/>
  <c r="BA6" i="9"/>
  <c r="AZ6" i="9"/>
  <c r="AY6" i="9"/>
  <c r="BE5" i="9"/>
  <c r="BD5" i="9"/>
  <c r="BC5" i="9"/>
  <c r="BB5" i="9"/>
  <c r="BA5" i="9"/>
  <c r="AZ5" i="9"/>
  <c r="AY5" i="9"/>
  <c r="BA4" i="9"/>
  <c r="BB4" i="9"/>
  <c r="BC4" i="9"/>
  <c r="BD4" i="9"/>
  <c r="BE4" i="9"/>
  <c r="AN2" i="9"/>
  <c r="AO2" i="9"/>
  <c r="B47" i="3" s="1"/>
  <c r="AP2" i="9"/>
  <c r="AQ2" i="9"/>
  <c r="B49" i="3" s="1"/>
  <c r="AR2" i="9"/>
  <c r="AS2" i="9"/>
  <c r="B51" i="3" s="1"/>
  <c r="AT2" i="9"/>
  <c r="AL24" i="9"/>
  <c r="AW2" i="9" l="1"/>
  <c r="B45" i="3"/>
  <c r="BB2" i="9"/>
  <c r="B50" i="3"/>
  <c r="AZ2" i="9"/>
  <c r="B48" i="3"/>
  <c r="AX2" i="9"/>
  <c r="B46" i="3"/>
  <c r="BE2" i="9"/>
  <c r="B53" i="3"/>
  <c r="BD2" i="9"/>
  <c r="B52" i="3"/>
  <c r="AZ16" i="9"/>
  <c r="BB16" i="9"/>
  <c r="BB25" i="9" s="1"/>
  <c r="BD16" i="9"/>
  <c r="AY16" i="9"/>
  <c r="BA16" i="9"/>
  <c r="BC16" i="9"/>
  <c r="BC25" i="9" s="1"/>
  <c r="BE16" i="9"/>
  <c r="BC2" i="9"/>
  <c r="BA2" i="9"/>
  <c r="AY2" i="9"/>
  <c r="AW24" i="9"/>
  <c r="BF24" i="9" s="1"/>
  <c r="AL23" i="9"/>
  <c r="K56" i="3"/>
  <c r="L56" i="3"/>
  <c r="M56" i="3" s="1"/>
  <c r="U56" i="3"/>
  <c r="V56" i="3"/>
  <c r="W56" i="3"/>
  <c r="H57" i="3"/>
  <c r="I57" i="3" s="1"/>
  <c r="J57" i="3"/>
  <c r="K57" i="3"/>
  <c r="L57" i="3"/>
  <c r="M57" i="3" s="1"/>
  <c r="T57" i="3"/>
  <c r="U57" i="3"/>
  <c r="V57" i="3"/>
  <c r="W57" i="3"/>
  <c r="H58" i="3"/>
  <c r="I58" i="3" s="1"/>
  <c r="J58" i="3"/>
  <c r="K58" i="3"/>
  <c r="L58" i="3"/>
  <c r="M58" i="3" s="1"/>
  <c r="T58" i="3"/>
  <c r="U58" i="3"/>
  <c r="V58" i="3"/>
  <c r="W58" i="3"/>
  <c r="H59" i="3"/>
  <c r="I59" i="3" s="1"/>
  <c r="J59" i="3"/>
  <c r="K59" i="3"/>
  <c r="L59" i="3"/>
  <c r="M59" i="3" s="1"/>
  <c r="T59" i="3"/>
  <c r="U59" i="3"/>
  <c r="V59" i="3"/>
  <c r="W59" i="3"/>
  <c r="H60" i="3"/>
  <c r="I60" i="3" s="1"/>
  <c r="J60" i="3"/>
  <c r="K60" i="3"/>
  <c r="L60" i="3"/>
  <c r="M60" i="3" s="1"/>
  <c r="T60" i="3"/>
  <c r="U60" i="3"/>
  <c r="V60" i="3"/>
  <c r="W60" i="3"/>
  <c r="H61" i="3"/>
  <c r="I61" i="3" s="1"/>
  <c r="J61" i="3"/>
  <c r="K61" i="3"/>
  <c r="L61" i="3"/>
  <c r="M61" i="3" s="1"/>
  <c r="T61" i="3"/>
  <c r="U61" i="3"/>
  <c r="V61" i="3"/>
  <c r="W61" i="3"/>
  <c r="H62" i="3"/>
  <c r="I62" i="3" s="1"/>
  <c r="J62" i="3"/>
  <c r="K62" i="3"/>
  <c r="L62" i="3"/>
  <c r="M62" i="3" s="1"/>
  <c r="T62" i="3"/>
  <c r="U62" i="3"/>
  <c r="V62" i="3"/>
  <c r="W62" i="3"/>
  <c r="H63" i="3"/>
  <c r="I63" i="3" s="1"/>
  <c r="J63" i="3"/>
  <c r="M63" i="3"/>
  <c r="H64" i="3"/>
  <c r="I64" i="3" s="1"/>
  <c r="M64" i="3"/>
  <c r="T64" i="3"/>
  <c r="U64" i="3"/>
  <c r="V64" i="3"/>
  <c r="W64" i="3"/>
  <c r="H65" i="3"/>
  <c r="I65" i="3" s="1"/>
  <c r="J65" i="3"/>
  <c r="K65" i="3"/>
  <c r="L65" i="3"/>
  <c r="M65" i="3" s="1"/>
  <c r="H66" i="3"/>
  <c r="I66" i="3" s="1"/>
  <c r="J66" i="3"/>
  <c r="M66" i="3"/>
  <c r="H67" i="3"/>
  <c r="I67" i="3" s="1"/>
  <c r="J67" i="3"/>
  <c r="K67" i="3"/>
  <c r="L67" i="3"/>
  <c r="M67" i="3" s="1"/>
  <c r="T67" i="3"/>
  <c r="U67" i="3"/>
  <c r="V67" i="3"/>
  <c r="W67" i="3"/>
  <c r="H68" i="3"/>
  <c r="I68" i="3" s="1"/>
  <c r="J68" i="3"/>
  <c r="M68" i="3"/>
  <c r="H69" i="3"/>
  <c r="I69" i="3" s="1"/>
  <c r="J69" i="3"/>
  <c r="M69" i="3"/>
  <c r="H70" i="3"/>
  <c r="J70" i="3"/>
  <c r="M70" i="3"/>
  <c r="H71" i="3"/>
  <c r="I71" i="3" s="1"/>
  <c r="J71" i="3"/>
  <c r="M71" i="3"/>
  <c r="H72" i="3"/>
  <c r="I72" i="3" s="1"/>
  <c r="J72" i="3"/>
  <c r="K72" i="3"/>
  <c r="L72" i="3"/>
  <c r="M72" i="3" s="1"/>
  <c r="H73" i="3"/>
  <c r="M73" i="3"/>
  <c r="T73" i="3"/>
  <c r="U73" i="3"/>
  <c r="V73" i="3"/>
  <c r="W73" i="3"/>
  <c r="E56" i="3"/>
  <c r="H56" i="3" s="1"/>
  <c r="I56" i="3" s="1"/>
  <c r="I70" i="3" l="1"/>
  <c r="W14" i="9"/>
  <c r="U14" i="9"/>
  <c r="I73" i="3"/>
  <c r="I14" i="9"/>
  <c r="X14" i="9"/>
  <c r="V14" i="9"/>
  <c r="O14" i="9"/>
  <c r="AW23" i="9"/>
  <c r="AX23" i="9"/>
  <c r="AL15" i="9"/>
  <c r="AL14" i="9"/>
  <c r="AL13" i="9"/>
  <c r="AL12" i="9"/>
  <c r="AL11" i="9"/>
  <c r="AL10" i="9"/>
  <c r="AL9" i="9"/>
  <c r="AL8" i="9"/>
  <c r="AL7" i="9"/>
  <c r="AL5" i="9"/>
  <c r="AL4" i="9"/>
  <c r="AL22" i="9"/>
  <c r="AL21" i="9"/>
  <c r="AL20" i="9"/>
  <c r="AL19" i="9"/>
  <c r="AL18" i="9"/>
  <c r="AL17" i="9"/>
  <c r="AL16" i="9"/>
  <c r="Z2" i="9"/>
  <c r="AL66" i="9" s="1"/>
  <c r="X2" i="9"/>
  <c r="AL64" i="9" s="1"/>
  <c r="W2" i="9"/>
  <c r="AL63" i="9" s="1"/>
  <c r="V2" i="9"/>
  <c r="AL62" i="9" s="1"/>
  <c r="U2" i="9"/>
  <c r="AL61" i="9" s="1"/>
  <c r="T2" i="9"/>
  <c r="AL60" i="9" s="1"/>
  <c r="S2" i="9"/>
  <c r="AL58" i="9" s="1"/>
  <c r="R2" i="9"/>
  <c r="AL56" i="9" s="1"/>
  <c r="Q2" i="9"/>
  <c r="AL55" i="9" s="1"/>
  <c r="P2" i="9"/>
  <c r="AL54" i="9" s="1"/>
  <c r="O2" i="9"/>
  <c r="AL53" i="9" s="1"/>
  <c r="N2" i="9"/>
  <c r="AL52" i="9" s="1"/>
  <c r="M2" i="9"/>
  <c r="AL51" i="9" s="1"/>
  <c r="L2" i="9"/>
  <c r="AL50" i="9" s="1"/>
  <c r="J2" i="9"/>
  <c r="AL48" i="9" s="1"/>
  <c r="I2" i="9"/>
  <c r="AL47" i="9" s="1"/>
  <c r="H2" i="9"/>
  <c r="AL46" i="9" s="1"/>
  <c r="G2" i="9"/>
  <c r="F2" i="9"/>
  <c r="AL43" i="9" s="1"/>
  <c r="E2" i="9"/>
  <c r="AL42" i="9" s="1"/>
  <c r="D2" i="9"/>
  <c r="AL41" i="9" s="1"/>
  <c r="AL57" i="9" l="1"/>
  <c r="AL59" i="9"/>
  <c r="AL44" i="9"/>
  <c r="AL45" i="9"/>
  <c r="J14" i="9"/>
  <c r="AW16" i="9"/>
  <c r="AX17" i="9"/>
  <c r="AW17" i="9"/>
  <c r="AX18" i="9"/>
  <c r="AW19" i="9"/>
  <c r="AX19" i="9"/>
  <c r="AW20" i="9"/>
  <c r="AX20" i="9"/>
  <c r="AW21" i="9"/>
  <c r="AX21" i="9"/>
  <c r="AW22" i="9"/>
  <c r="BF23" i="9"/>
  <c r="AW5" i="9"/>
  <c r="AX5" i="9"/>
  <c r="AX6" i="9"/>
  <c r="AX7" i="9"/>
  <c r="AW7" i="9"/>
  <c r="AX8" i="9"/>
  <c r="AW8" i="9"/>
  <c r="AW9" i="9"/>
  <c r="AX9" i="9"/>
  <c r="AW10" i="9"/>
  <c r="AX10" i="9"/>
  <c r="AX11" i="9"/>
  <c r="AW11" i="9"/>
  <c r="AW12" i="9"/>
  <c r="AX12" i="9"/>
  <c r="AW13" i="9"/>
  <c r="AX13" i="9"/>
  <c r="AW14" i="9"/>
  <c r="AX14" i="9"/>
  <c r="AX15" i="9"/>
  <c r="AW15" i="9"/>
  <c r="W191" i="3"/>
  <c r="V191" i="3"/>
  <c r="U191" i="3"/>
  <c r="T191" i="3"/>
  <c r="V190" i="3"/>
  <c r="W5" i="4" s="1"/>
  <c r="W190" i="3"/>
  <c r="X5" i="4" s="1"/>
  <c r="W188" i="3"/>
  <c r="W189" i="3"/>
  <c r="X15" i="4" s="1"/>
  <c r="V189" i="3"/>
  <c r="W15" i="4" s="1"/>
  <c r="W187" i="3"/>
  <c r="V187" i="3"/>
  <c r="U187" i="3"/>
  <c r="T187" i="3"/>
  <c r="U190" i="3"/>
  <c r="V5" i="4" s="1"/>
  <c r="T190" i="3"/>
  <c r="U5" i="4" s="1"/>
  <c r="U188" i="3"/>
  <c r="T188" i="3"/>
  <c r="U189" i="3"/>
  <c r="V15" i="4" s="1"/>
  <c r="T189" i="3"/>
  <c r="U15" i="4" s="1"/>
  <c r="M187" i="3"/>
  <c r="I191" i="3"/>
  <c r="M191" i="3"/>
  <c r="I187" i="3"/>
  <c r="E109" i="3"/>
  <c r="E132" i="3"/>
  <c r="AW6" i="9" l="1"/>
  <c r="BF6" i="9" s="1"/>
  <c r="AW18" i="9"/>
  <c r="BF18" i="9" s="1"/>
  <c r="BF17" i="9"/>
  <c r="BF14" i="9"/>
  <c r="BF12" i="9"/>
  <c r="BF10" i="9"/>
  <c r="BF9" i="9"/>
  <c r="BF5" i="9"/>
  <c r="BF15" i="9"/>
  <c r="BF11" i="9"/>
  <c r="BF8" i="9"/>
  <c r="AX4" i="9"/>
  <c r="BF21" i="9"/>
  <c r="BF20" i="9"/>
  <c r="BF19" i="9"/>
  <c r="AA57" i="3"/>
  <c r="AA58" i="3"/>
  <c r="AA59" i="3"/>
  <c r="AA60" i="3"/>
  <c r="AA61" i="3"/>
  <c r="AA62" i="3"/>
  <c r="AA64" i="3"/>
  <c r="AB64" i="3"/>
  <c r="AC64" i="3"/>
  <c r="AE64" i="3" s="1"/>
  <c r="AF64" i="3"/>
  <c r="AG64" i="3"/>
  <c r="H74" i="3"/>
  <c r="M74" i="3"/>
  <c r="AB74" i="3"/>
  <c r="AF74" i="3"/>
  <c r="AG74" i="3"/>
  <c r="H75" i="3"/>
  <c r="I75" i="3" s="1"/>
  <c r="M75" i="3"/>
  <c r="AB75" i="3"/>
  <c r="AC75" i="3"/>
  <c r="AE75" i="3" s="1"/>
  <c r="AF75" i="3"/>
  <c r="AG75" i="3"/>
  <c r="H76" i="3"/>
  <c r="M76" i="3"/>
  <c r="H79" i="3"/>
  <c r="I18" i="10" s="1"/>
  <c r="W18" i="10" s="1"/>
  <c r="W21" i="10" s="1"/>
  <c r="AB79" i="3"/>
  <c r="AC79" i="3"/>
  <c r="AE79" i="3" s="1"/>
  <c r="AF79" i="3"/>
  <c r="AG79" i="3"/>
  <c r="H80" i="3"/>
  <c r="K80" i="3"/>
  <c r="L80" i="3"/>
  <c r="M80" i="3" s="1"/>
  <c r="AB80" i="3"/>
  <c r="AC80" i="3"/>
  <c r="AE80" i="3" s="1"/>
  <c r="AF80" i="3"/>
  <c r="AG80" i="3"/>
  <c r="H81" i="3"/>
  <c r="K81" i="3"/>
  <c r="L81" i="3"/>
  <c r="M81" i="3" s="1"/>
  <c r="AB81" i="3"/>
  <c r="AC81" i="3"/>
  <c r="AE81" i="3" s="1"/>
  <c r="AF81" i="3"/>
  <c r="AG81" i="3"/>
  <c r="H82" i="3"/>
  <c r="I82" i="3" s="1"/>
  <c r="M82" i="3"/>
  <c r="AB82" i="3"/>
  <c r="AC82" i="3"/>
  <c r="AE82" i="3" s="1"/>
  <c r="AF82" i="3"/>
  <c r="AG82" i="3"/>
  <c r="H83" i="3"/>
  <c r="M83" i="3"/>
  <c r="AB83" i="3"/>
  <c r="AC83" i="3"/>
  <c r="AE83" i="3" s="1"/>
  <c r="AF83" i="3"/>
  <c r="AG83" i="3"/>
  <c r="M84" i="3"/>
  <c r="C85" i="3"/>
  <c r="D4" i="9" s="1"/>
  <c r="F85" i="3"/>
  <c r="G4" i="9" s="1"/>
  <c r="M86" i="3"/>
  <c r="K21" i="5" s="1"/>
  <c r="I87" i="3"/>
  <c r="M87" i="3"/>
  <c r="I88" i="3"/>
  <c r="M88" i="3"/>
  <c r="I89" i="3"/>
  <c r="M89" i="3"/>
  <c r="I90" i="3"/>
  <c r="M90" i="3"/>
  <c r="I91" i="3"/>
  <c r="M91" i="3"/>
  <c r="I92" i="3"/>
  <c r="M92" i="3"/>
  <c r="H96" i="3"/>
  <c r="M96" i="3"/>
  <c r="AB96" i="3"/>
  <c r="AC96" i="3"/>
  <c r="AE96" i="3" s="1"/>
  <c r="AF96" i="3"/>
  <c r="AG96" i="3"/>
  <c r="H97" i="3"/>
  <c r="I97" i="3" s="1"/>
  <c r="J97" i="3"/>
  <c r="K97" i="3"/>
  <c r="L97" i="3"/>
  <c r="M97" i="3" s="1"/>
  <c r="H98" i="3"/>
  <c r="I98" i="3" s="1"/>
  <c r="J98" i="3"/>
  <c r="K98" i="3"/>
  <c r="L98" i="3"/>
  <c r="M98" i="3" s="1"/>
  <c r="H99" i="3"/>
  <c r="I99" i="3" s="1"/>
  <c r="J99" i="3"/>
  <c r="K99" i="3"/>
  <c r="L99" i="3"/>
  <c r="M99" i="3" s="1"/>
  <c r="H100" i="3"/>
  <c r="I100" i="3" s="1"/>
  <c r="J100" i="3"/>
  <c r="K100" i="3"/>
  <c r="L100" i="3"/>
  <c r="M100" i="3" s="1"/>
  <c r="H101" i="3"/>
  <c r="I101" i="3" s="1"/>
  <c r="J101" i="3"/>
  <c r="K101" i="3"/>
  <c r="L101" i="3"/>
  <c r="M101" i="3" s="1"/>
  <c r="H102" i="3"/>
  <c r="K102" i="3"/>
  <c r="L102" i="3"/>
  <c r="M102" i="3" s="1"/>
  <c r="AB102" i="3"/>
  <c r="AC102" i="3"/>
  <c r="AE102" i="3" s="1"/>
  <c r="AF102" i="3"/>
  <c r="AG102" i="3"/>
  <c r="H103" i="3"/>
  <c r="I103" i="3" s="1"/>
  <c r="J103" i="3"/>
  <c r="K103" i="3"/>
  <c r="L103" i="3"/>
  <c r="M103" i="3" s="1"/>
  <c r="H104" i="3"/>
  <c r="J104" i="3"/>
  <c r="K104" i="3"/>
  <c r="L104" i="3"/>
  <c r="M104" i="3" s="1"/>
  <c r="H105" i="3"/>
  <c r="M105" i="3"/>
  <c r="AB105" i="3"/>
  <c r="AC105" i="3"/>
  <c r="AE105" i="3" s="1"/>
  <c r="AF105" i="3"/>
  <c r="AG105" i="3"/>
  <c r="D106" i="3"/>
  <c r="E106" i="3"/>
  <c r="H106" i="3" s="1"/>
  <c r="I106" i="3" s="1"/>
  <c r="J106" i="3"/>
  <c r="M106" i="3"/>
  <c r="AB106" i="3"/>
  <c r="AC106" i="3"/>
  <c r="AE106" i="3" s="1"/>
  <c r="AF106" i="3"/>
  <c r="AG106" i="3"/>
  <c r="I107" i="3"/>
  <c r="J107" i="3"/>
  <c r="M107" i="3"/>
  <c r="AB107" i="3"/>
  <c r="AC107" i="3"/>
  <c r="AE107" i="3" s="1"/>
  <c r="AF107" i="3"/>
  <c r="AG107" i="3"/>
  <c r="I108" i="3"/>
  <c r="J108" i="3"/>
  <c r="M108" i="3"/>
  <c r="AB108" i="3"/>
  <c r="AC108" i="3"/>
  <c r="AE108" i="3" s="1"/>
  <c r="AF108" i="3"/>
  <c r="AG108" i="3"/>
  <c r="H109" i="3"/>
  <c r="AB109" i="3"/>
  <c r="AC109" i="3"/>
  <c r="AE109" i="3" s="1"/>
  <c r="AF109" i="3"/>
  <c r="AG109" i="3"/>
  <c r="H110" i="3"/>
  <c r="J110" i="3"/>
  <c r="K110" i="3"/>
  <c r="M110" i="3"/>
  <c r="H111" i="3"/>
  <c r="I111" i="3" s="1"/>
  <c r="J111" i="3"/>
  <c r="K111" i="3"/>
  <c r="L111" i="3"/>
  <c r="M111" i="3" s="1"/>
  <c r="H112" i="3"/>
  <c r="I112" i="3" s="1"/>
  <c r="M112" i="3"/>
  <c r="AB112" i="3"/>
  <c r="AC112" i="3"/>
  <c r="AE112" i="3" s="1"/>
  <c r="AF112" i="3"/>
  <c r="AG112" i="3"/>
  <c r="H113" i="3"/>
  <c r="M113" i="3"/>
  <c r="T113" i="3"/>
  <c r="U113" i="3"/>
  <c r="V113" i="3"/>
  <c r="W113" i="3"/>
  <c r="AA114" i="3"/>
  <c r="I117" i="3"/>
  <c r="M117" i="3"/>
  <c r="K11" i="10" s="1"/>
  <c r="Y11" i="10" s="1"/>
  <c r="H118" i="3"/>
  <c r="K118" i="3"/>
  <c r="L118" i="3"/>
  <c r="M118" i="3" s="1"/>
  <c r="I119" i="3"/>
  <c r="J119" i="3"/>
  <c r="M119" i="3"/>
  <c r="H120" i="3"/>
  <c r="I120" i="3" s="1"/>
  <c r="J120" i="3"/>
  <c r="M120" i="3"/>
  <c r="H121" i="3"/>
  <c r="I121" i="3" s="1"/>
  <c r="J121" i="3"/>
  <c r="M121" i="3"/>
  <c r="H122" i="3"/>
  <c r="J122" i="3"/>
  <c r="K122" i="3"/>
  <c r="M122" i="3"/>
  <c r="H123" i="3"/>
  <c r="I123" i="3" s="1"/>
  <c r="J123" i="3"/>
  <c r="M123" i="3"/>
  <c r="H124" i="3"/>
  <c r="I124" i="3" s="1"/>
  <c r="J124" i="3"/>
  <c r="M124" i="3"/>
  <c r="F125" i="3"/>
  <c r="M125" i="3" s="1"/>
  <c r="J125" i="3"/>
  <c r="F126" i="3"/>
  <c r="M126" i="3" s="1"/>
  <c r="J126" i="3"/>
  <c r="F127" i="3"/>
  <c r="M127" i="3" s="1"/>
  <c r="J127" i="3"/>
  <c r="H128" i="3"/>
  <c r="I128" i="3" s="1"/>
  <c r="J128" i="3"/>
  <c r="K128" i="3"/>
  <c r="L128" i="3"/>
  <c r="M128" i="3" s="1"/>
  <c r="H129" i="3"/>
  <c r="J129" i="3"/>
  <c r="K129" i="3"/>
  <c r="L129" i="3"/>
  <c r="M129" i="3" s="1"/>
  <c r="H130" i="3"/>
  <c r="I130" i="3" s="1"/>
  <c r="J130" i="3"/>
  <c r="K130" i="3"/>
  <c r="L130" i="3"/>
  <c r="M130" i="3" s="1"/>
  <c r="H131" i="3"/>
  <c r="I131" i="3" s="1"/>
  <c r="J131" i="3"/>
  <c r="K131" i="3"/>
  <c r="L131" i="3"/>
  <c r="M131" i="3" s="1"/>
  <c r="AA133" i="3"/>
  <c r="AB135" i="3"/>
  <c r="AC135" i="3"/>
  <c r="AE135" i="3" s="1"/>
  <c r="AF135" i="3"/>
  <c r="AG135" i="3"/>
  <c r="AB136" i="3"/>
  <c r="AC136" i="3"/>
  <c r="AE136" i="3" s="1"/>
  <c r="AF136" i="3"/>
  <c r="AG136" i="3"/>
  <c r="AB137" i="3"/>
  <c r="AC137" i="3"/>
  <c r="AE137" i="3" s="1"/>
  <c r="AF137" i="3"/>
  <c r="AG137" i="3"/>
  <c r="AB138" i="3"/>
  <c r="AC138" i="3"/>
  <c r="AE138" i="3" s="1"/>
  <c r="AF138" i="3"/>
  <c r="AG138" i="3"/>
  <c r="AB139" i="3"/>
  <c r="AC139" i="3"/>
  <c r="AE139" i="3" s="1"/>
  <c r="AF139" i="3"/>
  <c r="AG139" i="3"/>
  <c r="AB140" i="3"/>
  <c r="AC140" i="3"/>
  <c r="AE140" i="3" s="1"/>
  <c r="AF140" i="3"/>
  <c r="AG140" i="3"/>
  <c r="AB141" i="3"/>
  <c r="AC141" i="3"/>
  <c r="AE141" i="3" s="1"/>
  <c r="AF141" i="3"/>
  <c r="AG141" i="3"/>
  <c r="AB142" i="3"/>
  <c r="AC142" i="3"/>
  <c r="AE142" i="3" s="1"/>
  <c r="AF142" i="3"/>
  <c r="AG142" i="3"/>
  <c r="AB143" i="3"/>
  <c r="AC143" i="3"/>
  <c r="AE143" i="3" s="1"/>
  <c r="AF143" i="3"/>
  <c r="AG143" i="3"/>
  <c r="AB144" i="3"/>
  <c r="AC144" i="3"/>
  <c r="AE144" i="3" s="1"/>
  <c r="AF144" i="3"/>
  <c r="AG144" i="3"/>
  <c r="AB145" i="3"/>
  <c r="AC145" i="3"/>
  <c r="AE145" i="3" s="1"/>
  <c r="AF145" i="3"/>
  <c r="AG145" i="3"/>
  <c r="AB146" i="3"/>
  <c r="AC146" i="3"/>
  <c r="AE146" i="3" s="1"/>
  <c r="AF146" i="3"/>
  <c r="AG146" i="3"/>
  <c r="AB147" i="3"/>
  <c r="AC147" i="3"/>
  <c r="AE147" i="3" s="1"/>
  <c r="AF147" i="3"/>
  <c r="AG147" i="3"/>
  <c r="AB148" i="3"/>
  <c r="AC148" i="3"/>
  <c r="AE148" i="3" s="1"/>
  <c r="AF148" i="3"/>
  <c r="AG148" i="3"/>
  <c r="AB149" i="3"/>
  <c r="AC149" i="3"/>
  <c r="AE149" i="3" s="1"/>
  <c r="AF149" i="3"/>
  <c r="AG149" i="3"/>
  <c r="AB150" i="3"/>
  <c r="AC150" i="3"/>
  <c r="AE150" i="3" s="1"/>
  <c r="AF150" i="3"/>
  <c r="AG150" i="3"/>
  <c r="AB151" i="3"/>
  <c r="AC151" i="3"/>
  <c r="AE151" i="3" s="1"/>
  <c r="AF151" i="3"/>
  <c r="AG151" i="3"/>
  <c r="AB152" i="3"/>
  <c r="AC152" i="3"/>
  <c r="AE152" i="3" s="1"/>
  <c r="AF152" i="3"/>
  <c r="AG152" i="3"/>
  <c r="AB153" i="3"/>
  <c r="AC153" i="3"/>
  <c r="AE153" i="3" s="1"/>
  <c r="AF153" i="3"/>
  <c r="AG153" i="3"/>
  <c r="AB154" i="3"/>
  <c r="AC154" i="3"/>
  <c r="AE154" i="3" s="1"/>
  <c r="AF154" i="3"/>
  <c r="AG154" i="3"/>
  <c r="AE155" i="3"/>
  <c r="AF155" i="3"/>
  <c r="AG155" i="3"/>
  <c r="AB156" i="3"/>
  <c r="AC156" i="3"/>
  <c r="AE156" i="3" s="1"/>
  <c r="AF156" i="3"/>
  <c r="AG156" i="3"/>
  <c r="AB157" i="3"/>
  <c r="AC157" i="3"/>
  <c r="AE157" i="3" s="1"/>
  <c r="AF157" i="3"/>
  <c r="AG157" i="3"/>
  <c r="AB158" i="3"/>
  <c r="AC158" i="3"/>
  <c r="AE158" i="3" s="1"/>
  <c r="AF158" i="3"/>
  <c r="AG158" i="3"/>
  <c r="AB159" i="3"/>
  <c r="AC159" i="3"/>
  <c r="AE159" i="3" s="1"/>
  <c r="AF159" i="3"/>
  <c r="AG159" i="3"/>
  <c r="AB160" i="3"/>
  <c r="AC160" i="3"/>
  <c r="AE160" i="3" s="1"/>
  <c r="AF160" i="3"/>
  <c r="AG160" i="3"/>
  <c r="AB161" i="3"/>
  <c r="AC161" i="3"/>
  <c r="AE161" i="3" s="1"/>
  <c r="AF161" i="3"/>
  <c r="AG161" i="3"/>
  <c r="AB162" i="3"/>
  <c r="AC162" i="3"/>
  <c r="AE162" i="3" s="1"/>
  <c r="AF162" i="3"/>
  <c r="AG162" i="3"/>
  <c r="AB163" i="3"/>
  <c r="AC163" i="3"/>
  <c r="AE163" i="3" s="1"/>
  <c r="AF163" i="3"/>
  <c r="AG163" i="3"/>
  <c r="AB164" i="3"/>
  <c r="AC164" i="3"/>
  <c r="AE164" i="3" s="1"/>
  <c r="AF164" i="3"/>
  <c r="AG164" i="3"/>
  <c r="AB165" i="3"/>
  <c r="AC165" i="3"/>
  <c r="AE165" i="3" s="1"/>
  <c r="AF165" i="3"/>
  <c r="AG165" i="3"/>
  <c r="AB166" i="3"/>
  <c r="AC166" i="3"/>
  <c r="AE166" i="3" s="1"/>
  <c r="AF166" i="3"/>
  <c r="AG166" i="3"/>
  <c r="AB167" i="3"/>
  <c r="AC167" i="3"/>
  <c r="AE167" i="3" s="1"/>
  <c r="AF167" i="3"/>
  <c r="AG167" i="3"/>
  <c r="AB168" i="3"/>
  <c r="AC168" i="3"/>
  <c r="AE168" i="3" s="1"/>
  <c r="AF168" i="3"/>
  <c r="AG168" i="3"/>
  <c r="AB169" i="3"/>
  <c r="AC169" i="3"/>
  <c r="AE169" i="3" s="1"/>
  <c r="AF169" i="3"/>
  <c r="AG169" i="3"/>
  <c r="AE170" i="3"/>
  <c r="AF170" i="3"/>
  <c r="AG170" i="3"/>
  <c r="AB171" i="3"/>
  <c r="AC171" i="3"/>
  <c r="AE171" i="3" s="1"/>
  <c r="AF171" i="3"/>
  <c r="AG171" i="3"/>
  <c r="AB172" i="3"/>
  <c r="AC172" i="3"/>
  <c r="AE172" i="3" s="1"/>
  <c r="AF172" i="3"/>
  <c r="AG172" i="3"/>
  <c r="I183" i="3"/>
  <c r="M183" i="3"/>
  <c r="I184" i="3"/>
  <c r="M184" i="3"/>
  <c r="F185" i="3"/>
  <c r="I186" i="3"/>
  <c r="J7" i="4" s="1"/>
  <c r="M186" i="3"/>
  <c r="N7" i="4" s="1"/>
  <c r="I188" i="3"/>
  <c r="M188" i="3"/>
  <c r="I189" i="3"/>
  <c r="M189" i="3"/>
  <c r="N15" i="4" s="1"/>
  <c r="I190" i="3"/>
  <c r="J5" i="4" s="1"/>
  <c r="M190" i="3"/>
  <c r="N5" i="4" s="1"/>
  <c r="H192" i="3"/>
  <c r="M192" i="3"/>
  <c r="H193" i="3"/>
  <c r="H194" i="3"/>
  <c r="H195" i="3"/>
  <c r="I11" i="4" s="1"/>
  <c r="I196" i="3"/>
  <c r="M196" i="3"/>
  <c r="O10" i="9" s="1"/>
  <c r="AA32" i="3"/>
  <c r="AA197" i="3"/>
  <c r="E3" i="6"/>
  <c r="D6" i="6"/>
  <c r="E6" i="6"/>
  <c r="F6" i="6"/>
  <c r="H6" i="6"/>
  <c r="I6" i="6"/>
  <c r="R6" i="6"/>
  <c r="S6" i="6"/>
  <c r="T6" i="6"/>
  <c r="U6" i="6"/>
  <c r="W6" i="6"/>
  <c r="R10" i="6"/>
  <c r="P14" i="6"/>
  <c r="Q14" i="6"/>
  <c r="R14" i="6"/>
  <c r="R5" i="6" s="1"/>
  <c r="S14" i="6"/>
  <c r="S5" i="6" s="1"/>
  <c r="T14" i="6"/>
  <c r="T5" i="6" s="1"/>
  <c r="U14" i="6"/>
  <c r="U5" i="6" s="1"/>
  <c r="W14" i="6"/>
  <c r="W5" i="6" s="1"/>
  <c r="X14" i="6"/>
  <c r="Y14" i="6"/>
  <c r="Z14" i="6"/>
  <c r="AA14" i="6"/>
  <c r="P15" i="6"/>
  <c r="Q15" i="6"/>
  <c r="B16" i="6"/>
  <c r="B17" i="6"/>
  <c r="B18" i="6"/>
  <c r="B19" i="6"/>
  <c r="B20" i="6"/>
  <c r="B21" i="6"/>
  <c r="B26" i="6"/>
  <c r="I26" i="6" s="1"/>
  <c r="B27" i="6"/>
  <c r="B28" i="6"/>
  <c r="B29" i="6"/>
  <c r="B34" i="6"/>
  <c r="B35" i="6"/>
  <c r="C35" i="6" s="1"/>
  <c r="P36" i="6"/>
  <c r="Q36" i="6"/>
  <c r="X36" i="6"/>
  <c r="Y36" i="6"/>
  <c r="Z36" i="6"/>
  <c r="K45" i="6"/>
  <c r="D2" i="4"/>
  <c r="C27" i="4" s="1"/>
  <c r="E2" i="4"/>
  <c r="C28" i="4" s="1"/>
  <c r="F2" i="4"/>
  <c r="C29" i="4" s="1"/>
  <c r="G2" i="4"/>
  <c r="C30" i="4" s="1"/>
  <c r="H2" i="4"/>
  <c r="C31" i="4" s="1"/>
  <c r="I2" i="4"/>
  <c r="C32" i="4" s="1"/>
  <c r="J2" i="4"/>
  <c r="C33" i="4" s="1"/>
  <c r="K2" i="4"/>
  <c r="C34" i="4" s="1"/>
  <c r="L2" i="4"/>
  <c r="C35" i="4" s="1"/>
  <c r="M2" i="4"/>
  <c r="C36" i="4" s="1"/>
  <c r="N2" i="4"/>
  <c r="C37" i="4" s="1"/>
  <c r="P2" i="4"/>
  <c r="C39" i="4" s="1"/>
  <c r="Q2" i="4"/>
  <c r="C40" i="4" s="1"/>
  <c r="R2" i="4"/>
  <c r="C41" i="4" s="1"/>
  <c r="S2" i="4"/>
  <c r="C42" i="4" s="1"/>
  <c r="T2" i="4"/>
  <c r="C43" i="4" s="1"/>
  <c r="U2" i="4"/>
  <c r="C44" i="4" s="1"/>
  <c r="V2" i="4"/>
  <c r="C45" i="4" s="1"/>
  <c r="W2" i="4"/>
  <c r="C46" i="4" s="1"/>
  <c r="X2" i="4"/>
  <c r="C47" i="4" s="1"/>
  <c r="AB21" i="4"/>
  <c r="AC21" i="4"/>
  <c r="AD21" i="4"/>
  <c r="AE21" i="4"/>
  <c r="AF21" i="4"/>
  <c r="AG21" i="4"/>
  <c r="AH21" i="4"/>
  <c r="AI21" i="4"/>
  <c r="AJ21" i="4"/>
  <c r="J2" i="5"/>
  <c r="V9" i="5"/>
  <c r="F10" i="5"/>
  <c r="F11" i="5"/>
  <c r="W11" i="5"/>
  <c r="X11" i="5"/>
  <c r="F12" i="5"/>
  <c r="W12" i="5"/>
  <c r="W13" i="5" s="1"/>
  <c r="X12" i="5"/>
  <c r="X13" i="5" s="1"/>
  <c r="H13" i="5"/>
  <c r="W14" i="5"/>
  <c r="X14" i="5"/>
  <c r="B18" i="5"/>
  <c r="B39" i="5" s="1"/>
  <c r="I18" i="5"/>
  <c r="J18" i="5"/>
  <c r="Y18" i="5" s="1"/>
  <c r="Y10" i="5" s="1"/>
  <c r="Y39" i="5" s="1"/>
  <c r="L18" i="5"/>
  <c r="AB18" i="5"/>
  <c r="AB10" i="5" s="1"/>
  <c r="AE18" i="5"/>
  <c r="AE10" i="5" s="1"/>
  <c r="AF18" i="5"/>
  <c r="AF10" i="5" s="1"/>
  <c r="AG18" i="5"/>
  <c r="AG10" i="5" s="1"/>
  <c r="AH18" i="5"/>
  <c r="AH10" i="5" s="1"/>
  <c r="M19" i="5"/>
  <c r="U20" i="5"/>
  <c r="V21" i="5"/>
  <c r="AI21" i="5" s="1"/>
  <c r="V22" i="5"/>
  <c r="AI22" i="5" s="1"/>
  <c r="U22" i="5"/>
  <c r="V24" i="5"/>
  <c r="AI24" i="5" s="1"/>
  <c r="U24" i="5"/>
  <c r="V25" i="5"/>
  <c r="AI25" i="5" s="1"/>
  <c r="U25" i="5"/>
  <c r="V29" i="5"/>
  <c r="AI29" i="5" s="1"/>
  <c r="B40" i="5"/>
  <c r="I15" i="4" l="1"/>
  <c r="I10" i="10"/>
  <c r="W10" i="10" s="1"/>
  <c r="AA4" i="9"/>
  <c r="AP4" i="9"/>
  <c r="AO4" i="9"/>
  <c r="AM4" i="9"/>
  <c r="I185" i="3"/>
  <c r="AA185" i="3" s="1"/>
  <c r="G11" i="9"/>
  <c r="AH21" i="5"/>
  <c r="AD21" i="5"/>
  <c r="AH20" i="5"/>
  <c r="AD20" i="5"/>
  <c r="AH29" i="5"/>
  <c r="AD29" i="5"/>
  <c r="AH25" i="5"/>
  <c r="AD25" i="5"/>
  <c r="AH24" i="5"/>
  <c r="AD24" i="5"/>
  <c r="AH22" i="5"/>
  <c r="AD22" i="5"/>
  <c r="J35" i="6"/>
  <c r="I35" i="6"/>
  <c r="J29" i="6"/>
  <c r="I29" i="6"/>
  <c r="J27" i="6"/>
  <c r="I27" i="6"/>
  <c r="J21" i="6"/>
  <c r="I21" i="6"/>
  <c r="J17" i="6"/>
  <c r="I17" i="6"/>
  <c r="J34" i="6"/>
  <c r="I34" i="6"/>
  <c r="J26" i="6"/>
  <c r="J20" i="6"/>
  <c r="I20" i="6"/>
  <c r="J18" i="6"/>
  <c r="I18" i="6"/>
  <c r="J16" i="6"/>
  <c r="I16" i="6"/>
  <c r="W10" i="6"/>
  <c r="V10" i="6"/>
  <c r="P21" i="6"/>
  <c r="P18" i="6"/>
  <c r="P20" i="6"/>
  <c r="P16" i="6"/>
  <c r="AJ24" i="5"/>
  <c r="AJ22" i="5"/>
  <c r="AJ25" i="5"/>
  <c r="AJ20" i="5"/>
  <c r="J19" i="5"/>
  <c r="Y19" i="5" s="1"/>
  <c r="N29" i="6"/>
  <c r="L29" i="6"/>
  <c r="G29" i="6"/>
  <c r="E29" i="6"/>
  <c r="C29" i="6"/>
  <c r="M29" i="6"/>
  <c r="K29" i="6"/>
  <c r="H29" i="6"/>
  <c r="F29" i="6"/>
  <c r="D29" i="6"/>
  <c r="N27" i="6"/>
  <c r="C27" i="6"/>
  <c r="N20" i="6"/>
  <c r="L20" i="6"/>
  <c r="G20" i="6"/>
  <c r="E20" i="6"/>
  <c r="C20" i="6"/>
  <c r="M20" i="6"/>
  <c r="K20" i="6"/>
  <c r="H20" i="6"/>
  <c r="F20" i="6"/>
  <c r="D20" i="6"/>
  <c r="N18" i="6"/>
  <c r="L18" i="6"/>
  <c r="G18" i="6"/>
  <c r="E18" i="6"/>
  <c r="C18" i="6"/>
  <c r="M18" i="6"/>
  <c r="K18" i="6"/>
  <c r="H18" i="6"/>
  <c r="F18" i="6"/>
  <c r="D18" i="6"/>
  <c r="N16" i="6"/>
  <c r="L16" i="6"/>
  <c r="G16" i="6"/>
  <c r="E16" i="6"/>
  <c r="C16" i="6"/>
  <c r="M16" i="6"/>
  <c r="K16" i="6"/>
  <c r="H16" i="6"/>
  <c r="F16" i="6"/>
  <c r="D16" i="6"/>
  <c r="N34" i="6"/>
  <c r="C34" i="6"/>
  <c r="N28" i="6"/>
  <c r="C28" i="6"/>
  <c r="M26" i="6"/>
  <c r="K26" i="6"/>
  <c r="H26" i="6"/>
  <c r="F26" i="6"/>
  <c r="D26" i="6"/>
  <c r="N26" i="6"/>
  <c r="L26" i="6"/>
  <c r="G26" i="6"/>
  <c r="E26" i="6"/>
  <c r="C26" i="6"/>
  <c r="M21" i="6"/>
  <c r="K21" i="6"/>
  <c r="H21" i="6"/>
  <c r="F21" i="6"/>
  <c r="D21" i="6"/>
  <c r="N21" i="6"/>
  <c r="L21" i="6"/>
  <c r="G21" i="6"/>
  <c r="E21" i="6"/>
  <c r="C21" i="6"/>
  <c r="N19" i="6"/>
  <c r="C19" i="6"/>
  <c r="M17" i="6"/>
  <c r="K17" i="6"/>
  <c r="H17" i="6"/>
  <c r="F17" i="6"/>
  <c r="D17" i="6"/>
  <c r="N17" i="6"/>
  <c r="L17" i="6"/>
  <c r="G17" i="6"/>
  <c r="E17" i="6"/>
  <c r="C17" i="6"/>
  <c r="M35" i="6"/>
  <c r="K35" i="6"/>
  <c r="H35" i="6"/>
  <c r="F35" i="6"/>
  <c r="D35" i="6"/>
  <c r="N35" i="6"/>
  <c r="L35" i="6"/>
  <c r="G35" i="6"/>
  <c r="E35" i="6"/>
  <c r="T10" i="6"/>
  <c r="U21" i="5"/>
  <c r="I12" i="9"/>
  <c r="I11" i="9"/>
  <c r="Y29" i="5"/>
  <c r="U29" i="5"/>
  <c r="N9" i="4"/>
  <c r="I9" i="4"/>
  <c r="AA186" i="3"/>
  <c r="O19" i="9"/>
  <c r="O17" i="9"/>
  <c r="L19" i="9"/>
  <c r="L17" i="9"/>
  <c r="I16" i="9"/>
  <c r="I195" i="3"/>
  <c r="I10" i="9"/>
  <c r="M19" i="9"/>
  <c r="M17" i="9"/>
  <c r="I19" i="9"/>
  <c r="I17" i="9"/>
  <c r="AC74" i="3"/>
  <c r="AE74" i="3" s="1"/>
  <c r="O16" i="9"/>
  <c r="J10" i="9"/>
  <c r="J11" i="9"/>
  <c r="J172" i="3"/>
  <c r="J171" i="3"/>
  <c r="J170" i="3"/>
  <c r="J169" i="3"/>
  <c r="J165" i="3"/>
  <c r="J164" i="3"/>
  <c r="J159" i="3"/>
  <c r="J150" i="3"/>
  <c r="J149" i="3"/>
  <c r="AA149" i="3" s="1"/>
  <c r="J148" i="3"/>
  <c r="AA148" i="3" s="1"/>
  <c r="J147" i="3"/>
  <c r="J146" i="3"/>
  <c r="K12" i="4" s="1"/>
  <c r="J145" i="3"/>
  <c r="AA145" i="3" s="1"/>
  <c r="J144" i="3"/>
  <c r="AA144" i="3" s="1"/>
  <c r="J143" i="3"/>
  <c r="AA143" i="3" s="1"/>
  <c r="J142" i="3"/>
  <c r="AA142" i="3" s="1"/>
  <c r="J141" i="3"/>
  <c r="J168" i="3"/>
  <c r="AA168" i="3" s="1"/>
  <c r="J167" i="3"/>
  <c r="J166" i="3"/>
  <c r="J163" i="3"/>
  <c r="J162" i="3"/>
  <c r="K11" i="4" s="1"/>
  <c r="J161" i="3"/>
  <c r="J160" i="3"/>
  <c r="AA160" i="3" s="1"/>
  <c r="J158" i="3"/>
  <c r="J157" i="3"/>
  <c r="AA157" i="3" s="1"/>
  <c r="J156" i="3"/>
  <c r="J155" i="3"/>
  <c r="AA155" i="3" s="1"/>
  <c r="J154" i="3"/>
  <c r="AA154" i="3" s="1"/>
  <c r="J153" i="3"/>
  <c r="K13" i="4" s="1"/>
  <c r="J152" i="3"/>
  <c r="J151" i="3"/>
  <c r="J140" i="3"/>
  <c r="AA140" i="3" s="1"/>
  <c r="J139" i="3"/>
  <c r="J138" i="3"/>
  <c r="J137" i="3"/>
  <c r="AA137" i="3" s="1"/>
  <c r="J136" i="3"/>
  <c r="AA136" i="3" s="1"/>
  <c r="J135" i="3"/>
  <c r="L20" i="5" s="1"/>
  <c r="AA20" i="5" s="1"/>
  <c r="I194" i="3"/>
  <c r="AA75" i="3"/>
  <c r="AA196" i="3"/>
  <c r="AA183" i="3"/>
  <c r="AA130" i="3"/>
  <c r="AA139" i="3"/>
  <c r="AA18" i="5"/>
  <c r="AA10" i="5" s="1"/>
  <c r="AA39" i="5" s="1"/>
  <c r="AA111" i="3"/>
  <c r="AA98" i="3"/>
  <c r="AA162" i="3"/>
  <c r="AA120" i="3"/>
  <c r="AA82" i="3"/>
  <c r="AA88" i="3"/>
  <c r="Z25" i="5"/>
  <c r="AF25" i="5"/>
  <c r="W25" i="5"/>
  <c r="AG25" i="5"/>
  <c r="X18" i="5"/>
  <c r="X10" i="5" s="1"/>
  <c r="X39" i="5" s="1"/>
  <c r="X15" i="5"/>
  <c r="O20" i="6"/>
  <c r="I193" i="3"/>
  <c r="AA193" i="3" s="1"/>
  <c r="AA121" i="3"/>
  <c r="AA119" i="3"/>
  <c r="I109" i="3"/>
  <c r="AA109" i="3" s="1"/>
  <c r="AA90" i="3"/>
  <c r="AB25" i="5"/>
  <c r="AA189" i="3"/>
  <c r="I129" i="3"/>
  <c r="AA129" i="3" s="1"/>
  <c r="AA124" i="3"/>
  <c r="I104" i="3"/>
  <c r="AA104" i="3" s="1"/>
  <c r="AA70" i="3"/>
  <c r="AA68" i="3"/>
  <c r="AA128" i="3"/>
  <c r="AA123" i="3"/>
  <c r="AA103" i="3"/>
  <c r="J102" i="3"/>
  <c r="AA89" i="3"/>
  <c r="AA87" i="3"/>
  <c r="J80" i="3"/>
  <c r="AE24" i="5"/>
  <c r="AB24" i="5"/>
  <c r="Y24" i="5"/>
  <c r="Z22" i="5"/>
  <c r="AE22" i="5"/>
  <c r="AE20" i="5"/>
  <c r="Z20" i="5"/>
  <c r="Z21" i="5"/>
  <c r="AE21" i="5"/>
  <c r="AC22" i="5"/>
  <c r="W18" i="5"/>
  <c r="W10" i="5" s="1"/>
  <c r="W39" i="5" s="1"/>
  <c r="O17" i="6"/>
  <c r="AA25" i="5"/>
  <c r="W15" i="5"/>
  <c r="O21" i="6"/>
  <c r="O18" i="6"/>
  <c r="O16" i="6"/>
  <c r="AC24" i="5"/>
  <c r="AC21" i="5"/>
  <c r="AC20" i="5"/>
  <c r="W29" i="5"/>
  <c r="AA29" i="5"/>
  <c r="AF29" i="5"/>
  <c r="Q26" i="6"/>
  <c r="AB29" i="5"/>
  <c r="AC29" i="5"/>
  <c r="AE29" i="5"/>
  <c r="Z29" i="5"/>
  <c r="AG29" i="5"/>
  <c r="X29" i="5"/>
  <c r="Q20" i="6"/>
  <c r="W24" i="5"/>
  <c r="AA24" i="5"/>
  <c r="AF24" i="5"/>
  <c r="Q18" i="6"/>
  <c r="W22" i="5"/>
  <c r="AA22" i="5"/>
  <c r="AF22" i="5"/>
  <c r="Y22" i="5"/>
  <c r="Q17" i="6"/>
  <c r="W21" i="5"/>
  <c r="AA21" i="5"/>
  <c r="AF21" i="5"/>
  <c r="Q16" i="6"/>
  <c r="W20" i="5"/>
  <c r="AF20" i="5"/>
  <c r="I102" i="3"/>
  <c r="Y25" i="5"/>
  <c r="Q21" i="6"/>
  <c r="AG24" i="5"/>
  <c r="Z24" i="5"/>
  <c r="AB22" i="5"/>
  <c r="AB21" i="5"/>
  <c r="AB20" i="5"/>
  <c r="AE25" i="5"/>
  <c r="X25" i="5"/>
  <c r="AC25" i="5"/>
  <c r="X24" i="5"/>
  <c r="AG22" i="5"/>
  <c r="X22" i="5"/>
  <c r="AG21" i="5"/>
  <c r="X21" i="5"/>
  <c r="AG20" i="5"/>
  <c r="X20" i="5"/>
  <c r="O26" i="6"/>
  <c r="AA190" i="3"/>
  <c r="I118" i="3"/>
  <c r="AA118" i="3" s="1"/>
  <c r="AA106" i="3"/>
  <c r="I80" i="3"/>
  <c r="AA67" i="3"/>
  <c r="U10" i="6"/>
  <c r="S10" i="6"/>
  <c r="I192" i="3"/>
  <c r="AA188" i="3"/>
  <c r="I116" i="3"/>
  <c r="J11" i="10" s="1"/>
  <c r="X11" i="10" s="1"/>
  <c r="I110" i="3"/>
  <c r="AA110" i="3" s="1"/>
  <c r="I105" i="3"/>
  <c r="AA72" i="3"/>
  <c r="AA71" i="3"/>
  <c r="AA69" i="3"/>
  <c r="J105" i="3"/>
  <c r="AA131" i="3"/>
  <c r="I113" i="3"/>
  <c r="J112" i="3"/>
  <c r="AA112" i="3" s="1"/>
  <c r="AA100" i="3"/>
  <c r="AA92" i="3"/>
  <c r="I84" i="3"/>
  <c r="AA84" i="3" s="1"/>
  <c r="I83" i="3"/>
  <c r="AA83" i="3" s="1"/>
  <c r="I79" i="3"/>
  <c r="J18" i="10" s="1"/>
  <c r="X18" i="10" s="1"/>
  <c r="I76" i="3"/>
  <c r="AA76" i="3" s="1"/>
  <c r="I74" i="3"/>
  <c r="AA65" i="3"/>
  <c r="AA63" i="3"/>
  <c r="H127" i="3"/>
  <c r="I127" i="3" s="1"/>
  <c r="H126" i="3"/>
  <c r="I126" i="3" s="1"/>
  <c r="H125" i="3"/>
  <c r="I125" i="3" s="1"/>
  <c r="I122" i="3"/>
  <c r="AA122" i="3" s="1"/>
  <c r="AA97" i="3"/>
  <c r="I96" i="3"/>
  <c r="AA96" i="3" s="1"/>
  <c r="I81" i="3"/>
  <c r="AA81" i="3" s="1"/>
  <c r="AA66" i="3"/>
  <c r="I132" i="3"/>
  <c r="AA132" i="3" s="1"/>
  <c r="AA108" i="3"/>
  <c r="AA107" i="3"/>
  <c r="AA101" i="3"/>
  <c r="AA99" i="3"/>
  <c r="AA91" i="3"/>
  <c r="I86" i="3"/>
  <c r="H85" i="3"/>
  <c r="I4" i="9" s="1"/>
  <c r="M85" i="3"/>
  <c r="O4" i="9" s="1"/>
  <c r="AA73" i="3"/>
  <c r="AA79" i="3" l="1"/>
  <c r="J10" i="10"/>
  <c r="X10" i="10" s="1"/>
  <c r="K4" i="4"/>
  <c r="K7" i="4"/>
  <c r="K9" i="4"/>
  <c r="K5" i="4"/>
  <c r="K6" i="4"/>
  <c r="J15" i="4"/>
  <c r="AA86" i="3"/>
  <c r="J21" i="5"/>
  <c r="AW4" i="9"/>
  <c r="AM25" i="9"/>
  <c r="AP25" i="9"/>
  <c r="AZ4" i="9"/>
  <c r="AZ25" i="9" s="1"/>
  <c r="AA116" i="3"/>
  <c r="J20" i="5"/>
  <c r="J6" i="9"/>
  <c r="K3" i="4"/>
  <c r="AO25" i="9"/>
  <c r="AY4" i="9"/>
  <c r="AY25" i="9" s="1"/>
  <c r="AA105" i="3"/>
  <c r="AA195" i="3"/>
  <c r="J11" i="4"/>
  <c r="V21" i="6"/>
  <c r="AC21" i="6"/>
  <c r="V26" i="6"/>
  <c r="AC26" i="6"/>
  <c r="V20" i="6"/>
  <c r="AC20" i="6"/>
  <c r="V18" i="6"/>
  <c r="AC18" i="6"/>
  <c r="V17" i="6"/>
  <c r="AC17" i="6"/>
  <c r="V16" i="6"/>
  <c r="AC16" i="6"/>
  <c r="P26" i="6"/>
  <c r="AJ29" i="5"/>
  <c r="P17" i="6"/>
  <c r="AJ21" i="5"/>
  <c r="AA20" i="6"/>
  <c r="AA80" i="3"/>
  <c r="AA146" i="3"/>
  <c r="AA102" i="3"/>
  <c r="K16" i="4"/>
  <c r="K10" i="4"/>
  <c r="AA153" i="3"/>
  <c r="K14" i="4"/>
  <c r="K15" i="4"/>
  <c r="AA192" i="3"/>
  <c r="J9" i="4"/>
  <c r="AA74" i="3"/>
  <c r="J16" i="9"/>
  <c r="AA135" i="3"/>
  <c r="J12" i="9"/>
  <c r="AA113" i="3"/>
  <c r="J19" i="9"/>
  <c r="J17" i="9"/>
  <c r="AA166" i="3"/>
  <c r="AA152" i="3"/>
  <c r="AA164" i="3"/>
  <c r="Y21" i="6"/>
  <c r="AA16" i="6"/>
  <c r="AA18" i="6"/>
  <c r="AA21" i="6"/>
  <c r="Y18" i="6"/>
  <c r="AA150" i="3"/>
  <c r="AA161" i="3"/>
  <c r="AA56" i="3"/>
  <c r="Y20" i="6"/>
  <c r="Y16" i="6"/>
  <c r="Y17" i="6"/>
  <c r="AA156" i="3"/>
  <c r="R17" i="6"/>
  <c r="W17" i="6"/>
  <c r="T17" i="6"/>
  <c r="Z17" i="6"/>
  <c r="U17" i="6"/>
  <c r="S17" i="6"/>
  <c r="X17" i="6"/>
  <c r="T26" i="6"/>
  <c r="R26" i="6"/>
  <c r="W26" i="6"/>
  <c r="U26" i="6"/>
  <c r="Z26" i="6"/>
  <c r="S26" i="6"/>
  <c r="X26" i="6"/>
  <c r="AA126" i="3"/>
  <c r="AA141" i="3"/>
  <c r="AA171" i="3"/>
  <c r="AA147" i="3"/>
  <c r="AA167" i="3"/>
  <c r="AA159" i="3"/>
  <c r="AA163" i="3"/>
  <c r="AB26" i="6"/>
  <c r="R21" i="6"/>
  <c r="W21" i="6"/>
  <c r="T21" i="6"/>
  <c r="U21" i="6"/>
  <c r="Z21" i="6"/>
  <c r="S21" i="6"/>
  <c r="X21" i="6"/>
  <c r="U18" i="6"/>
  <c r="Z18" i="6"/>
  <c r="S18" i="6"/>
  <c r="X18" i="6"/>
  <c r="AB18" i="6"/>
  <c r="W18" i="6"/>
  <c r="R18" i="6"/>
  <c r="T18" i="6"/>
  <c r="AB21" i="6"/>
  <c r="Y26" i="6"/>
  <c r="S20" i="6"/>
  <c r="X20" i="6"/>
  <c r="AB20" i="6"/>
  <c r="U20" i="6"/>
  <c r="Z20" i="6"/>
  <c r="W20" i="6"/>
  <c r="R20" i="6"/>
  <c r="T20" i="6"/>
  <c r="I85" i="3"/>
  <c r="AA125" i="3"/>
  <c r="AA127" i="3"/>
  <c r="AA169" i="3"/>
  <c r="AA158" i="3"/>
  <c r="AA17" i="6"/>
  <c r="AA26" i="6"/>
  <c r="AA165" i="3"/>
  <c r="S16" i="6"/>
  <c r="X16" i="6"/>
  <c r="AB16" i="6"/>
  <c r="U16" i="6"/>
  <c r="Z16" i="6"/>
  <c r="R16" i="6"/>
  <c r="W16" i="6"/>
  <c r="T16" i="6"/>
  <c r="AB17" i="6"/>
  <c r="AA85" i="3" l="1"/>
  <c r="J4" i="9"/>
  <c r="AK20" i="5"/>
  <c r="Y20" i="5"/>
  <c r="AK21" i="5"/>
  <c r="Y21" i="5"/>
  <c r="BF4" i="9"/>
  <c r="AW25" i="9"/>
  <c r="V32" i="5"/>
  <c r="U32" i="5"/>
  <c r="V38" i="5"/>
  <c r="U38" i="5"/>
  <c r="AA172" i="3"/>
  <c r="AX16" i="9"/>
  <c r="AD38" i="5" l="1"/>
  <c r="AI38" i="5"/>
  <c r="AD32" i="5"/>
  <c r="AI32" i="5"/>
  <c r="P35" i="6"/>
  <c r="AJ38" i="5"/>
  <c r="AB38" i="5"/>
  <c r="AH38" i="5"/>
  <c r="AC32" i="5"/>
  <c r="AH32" i="5"/>
  <c r="P29" i="6"/>
  <c r="AJ32" i="5"/>
  <c r="AB32" i="5"/>
  <c r="AC38" i="5"/>
  <c r="AA32" i="5"/>
  <c r="AE38" i="5"/>
  <c r="AE32" i="5"/>
  <c r="AA38" i="5"/>
  <c r="Z38" i="5"/>
  <c r="X38" i="5"/>
  <c r="Y38" i="5"/>
  <c r="W38" i="5"/>
  <c r="Q35" i="6"/>
  <c r="AG38" i="5"/>
  <c r="AF38" i="5"/>
  <c r="Y32" i="5"/>
  <c r="W32" i="5"/>
  <c r="AF32" i="5"/>
  <c r="AG32" i="5"/>
  <c r="X32" i="5"/>
  <c r="Z32" i="5"/>
  <c r="Q29" i="6"/>
  <c r="BF16" i="9"/>
  <c r="V35" i="6" l="1"/>
  <c r="AC35" i="6"/>
  <c r="V29" i="6"/>
  <c r="AC29" i="6"/>
  <c r="AA35" i="6"/>
  <c r="T35" i="6"/>
  <c r="W35" i="6"/>
  <c r="U35" i="6"/>
  <c r="S35" i="6"/>
  <c r="Z35" i="6"/>
  <c r="AA29" i="6"/>
  <c r="Y29" i="6"/>
  <c r="R29" i="6"/>
  <c r="T29" i="6"/>
  <c r="S29" i="6"/>
  <c r="U29" i="6"/>
  <c r="W29" i="6"/>
  <c r="X29" i="6"/>
  <c r="Z29" i="6"/>
  <c r="X35" i="6" l="1"/>
  <c r="R35" i="6"/>
  <c r="AX22" i="9"/>
  <c r="BF22" i="9" s="1"/>
  <c r="S18" i="4"/>
  <c r="F8" i="4"/>
  <c r="H8" i="4"/>
  <c r="J8" i="4"/>
  <c r="L8" i="4"/>
  <c r="N8" i="4"/>
  <c r="G8" i="4"/>
  <c r="D8" i="4"/>
  <c r="V8" i="4"/>
  <c r="Q8" i="4"/>
  <c r="S8" i="4"/>
  <c r="U8" i="4"/>
  <c r="W8" i="4"/>
  <c r="E8" i="4"/>
  <c r="I8" i="4"/>
  <c r="K8" i="4"/>
  <c r="M8" i="4"/>
  <c r="P8" i="4"/>
  <c r="R8" i="4"/>
  <c r="T8" i="4"/>
  <c r="AG42" i="4" l="1"/>
  <c r="R40" i="3" s="1"/>
  <c r="Y35" i="6"/>
  <c r="AE42" i="4"/>
  <c r="R38" i="3" s="1"/>
  <c r="AC42" i="4"/>
  <c r="R36" i="3" s="1"/>
  <c r="AJ42" i="4"/>
  <c r="R43" i="3" s="1"/>
  <c r="AD42" i="4"/>
  <c r="R37" i="3" s="1"/>
  <c r="AI42" i="4"/>
  <c r="R42" i="3" s="1"/>
  <c r="AF42" i="4"/>
  <c r="R39" i="3" s="1"/>
  <c r="AB42" i="4"/>
  <c r="R35" i="3" s="1"/>
  <c r="AH42" i="4"/>
  <c r="R41" i="3" s="1"/>
  <c r="AX25" i="9"/>
  <c r="S20" i="9" l="1"/>
  <c r="S7" i="9"/>
  <c r="AA178" i="3"/>
  <c r="S9" i="9"/>
  <c r="AA176" i="3"/>
  <c r="AA180" i="3" l="1"/>
  <c r="AA179" i="3"/>
  <c r="AA175" i="3"/>
  <c r="AA177" i="3"/>
  <c r="M17" i="4" l="1"/>
  <c r="V17" i="4"/>
  <c r="Q17" i="4"/>
  <c r="F17" i="4"/>
  <c r="N17" i="4"/>
  <c r="K17" i="4"/>
  <c r="L17" i="4"/>
  <c r="W17" i="4"/>
  <c r="J17" i="4"/>
  <c r="U17" i="4"/>
  <c r="I17" i="4"/>
  <c r="R17" i="4"/>
  <c r="E17" i="4"/>
  <c r="H17" i="4"/>
  <c r="P17" i="4"/>
  <c r="D17" i="4"/>
  <c r="G17" i="4"/>
  <c r="T18" i="4"/>
  <c r="Q18" i="4"/>
  <c r="F18" i="4"/>
  <c r="K18" i="4"/>
  <c r="L18" i="4"/>
  <c r="U18" i="4"/>
  <c r="H18" i="4"/>
  <c r="R18" i="4"/>
  <c r="P18" i="4"/>
  <c r="T17" i="4"/>
  <c r="G18" i="4"/>
  <c r="E18" i="4"/>
  <c r="I18" i="4"/>
  <c r="J18" i="4"/>
  <c r="W18" i="4"/>
  <c r="N18" i="4"/>
  <c r="V18" i="4"/>
  <c r="D18" i="4"/>
  <c r="M18" i="4"/>
  <c r="Q19" i="4"/>
  <c r="K19" i="4"/>
  <c r="R19" i="4"/>
  <c r="T19" i="4"/>
  <c r="V19" i="4"/>
  <c r="J19" i="4"/>
  <c r="L19" i="4"/>
  <c r="W19" i="4"/>
  <c r="F19" i="4"/>
  <c r="G19" i="4"/>
  <c r="M19" i="4"/>
  <c r="N19" i="4"/>
  <c r="I19" i="4"/>
  <c r="E19" i="4"/>
  <c r="P19" i="4"/>
  <c r="H19" i="4"/>
  <c r="U19" i="4"/>
  <c r="D19" i="4"/>
  <c r="U20" i="4"/>
  <c r="F20" i="4"/>
  <c r="Q20" i="4"/>
  <c r="P20" i="4"/>
  <c r="N20" i="4"/>
  <c r="W20" i="4"/>
  <c r="M20" i="4"/>
  <c r="J20" i="4"/>
  <c r="I20" i="4"/>
  <c r="L20" i="4"/>
  <c r="K20" i="4"/>
  <c r="R20" i="4"/>
  <c r="E20" i="4"/>
  <c r="T20" i="4"/>
  <c r="H20" i="4"/>
  <c r="V20" i="4"/>
  <c r="G20" i="4"/>
  <c r="D20" i="4"/>
  <c r="AB27" i="4" l="1"/>
  <c r="C35" i="3" s="1"/>
  <c r="AI44" i="4"/>
  <c r="T42" i="3" s="1"/>
  <c r="X38" i="3"/>
  <c r="X39" i="3"/>
  <c r="X36" i="3"/>
  <c r="X37" i="3"/>
  <c r="X42" i="3"/>
  <c r="X43" i="3"/>
  <c r="X40" i="3"/>
  <c r="X41" i="3"/>
  <c r="AJ28" i="4"/>
  <c r="D43" i="3" s="1"/>
  <c r="AI28" i="4"/>
  <c r="AH28" i="4"/>
  <c r="AG28" i="4"/>
  <c r="AF28" i="4"/>
  <c r="AE28" i="4"/>
  <c r="AD28" i="4"/>
  <c r="AC28" i="4"/>
  <c r="AB28" i="4"/>
  <c r="AF27" i="4"/>
  <c r="AG27" i="4"/>
  <c r="AH27" i="4"/>
  <c r="C41" i="3" s="1"/>
  <c r="AI27" i="4"/>
  <c r="C42" i="3" s="1"/>
  <c r="AJ27" i="4"/>
  <c r="AD27" i="4"/>
  <c r="C37" i="3" s="1"/>
  <c r="AE27" i="4"/>
  <c r="C38" i="3" s="1"/>
  <c r="AC27" i="4"/>
  <c r="C36" i="3" s="1"/>
  <c r="G13" i="10" s="1"/>
  <c r="AC34" i="4"/>
  <c r="AJ41" i="4"/>
  <c r="Q43" i="3" s="1"/>
  <c r="AI47" i="4"/>
  <c r="AB29" i="4"/>
  <c r="E35" i="3" s="1"/>
  <c r="AC40" i="4"/>
  <c r="P36" i="3" s="1"/>
  <c r="AH36" i="4"/>
  <c r="L41" i="3" s="1"/>
  <c r="AE45" i="4"/>
  <c r="U38" i="3" s="1"/>
  <c r="AB43" i="4"/>
  <c r="S35" i="3" s="1"/>
  <c r="AG35" i="4"/>
  <c r="K40" i="3" s="1"/>
  <c r="AC30" i="4"/>
  <c r="F36" i="3" s="1"/>
  <c r="AF32" i="4"/>
  <c r="H39" i="3" s="1"/>
  <c r="AG39" i="4"/>
  <c r="O40" i="3" s="1"/>
  <c r="AG40" i="4"/>
  <c r="P40" i="3" s="1"/>
  <c r="AJ49" i="4"/>
  <c r="AB30" i="4"/>
  <c r="AD31" i="4"/>
  <c r="G37" i="3" s="1"/>
  <c r="AH31" i="4"/>
  <c r="G41" i="3" s="1"/>
  <c r="AC31" i="4"/>
  <c r="G36" i="3" s="1"/>
  <c r="AF31" i="4"/>
  <c r="G39" i="3" s="1"/>
  <c r="AB41" i="4"/>
  <c r="Q35" i="3" s="1"/>
  <c r="AB34" i="4"/>
  <c r="J35" i="3" s="1"/>
  <c r="L7" i="9" s="1"/>
  <c r="AJ33" i="4"/>
  <c r="I43" i="3" s="1"/>
  <c r="AE33" i="4"/>
  <c r="I38" i="3" s="1"/>
  <c r="AC33" i="4"/>
  <c r="I36" i="3" s="1"/>
  <c r="J13" i="10" s="1"/>
  <c r="AG33" i="4"/>
  <c r="I40" i="3" s="1"/>
  <c r="AH33" i="4"/>
  <c r="I41" i="3" s="1"/>
  <c r="AI33" i="4"/>
  <c r="I42" i="3" s="1"/>
  <c r="AD33" i="4"/>
  <c r="I37" i="3" s="1"/>
  <c r="AF33" i="4"/>
  <c r="I39" i="3" s="1"/>
  <c r="AF37" i="4"/>
  <c r="M39" i="3" s="1"/>
  <c r="AI37" i="4"/>
  <c r="M42" i="3" s="1"/>
  <c r="AE37" i="4"/>
  <c r="M38" i="3" s="1"/>
  <c r="AJ37" i="4"/>
  <c r="M43" i="3" s="1"/>
  <c r="AG37" i="4"/>
  <c r="M40" i="3" s="1"/>
  <c r="AH37" i="4"/>
  <c r="M41" i="3" s="1"/>
  <c r="AC37" i="4"/>
  <c r="M36" i="3" s="1"/>
  <c r="K13" i="10" s="1"/>
  <c r="AD37" i="4"/>
  <c r="M37" i="3" s="1"/>
  <c r="AC47" i="4"/>
  <c r="AJ47" i="4"/>
  <c r="AD47" i="4"/>
  <c r="AH47" i="4"/>
  <c r="AF47" i="4"/>
  <c r="AE47" i="4"/>
  <c r="AG47" i="4"/>
  <c r="AJ31" i="4"/>
  <c r="G43" i="3" s="1"/>
  <c r="AB39" i="4"/>
  <c r="O35" i="3" s="1"/>
  <c r="AE32" i="4"/>
  <c r="H38" i="3" s="1"/>
  <c r="AB33" i="4"/>
  <c r="I35" i="3" s="1"/>
  <c r="J7" i="9" s="1"/>
  <c r="AJ40" i="4"/>
  <c r="P43" i="3" s="1"/>
  <c r="AI40" i="4"/>
  <c r="P42" i="3" s="1"/>
  <c r="AB40" i="4"/>
  <c r="P35" i="3" s="1"/>
  <c r="Q7" i="9" s="1"/>
  <c r="AF40" i="4"/>
  <c r="P39" i="3" s="1"/>
  <c r="AD34" i="4"/>
  <c r="J37" i="3" s="1"/>
  <c r="AG34" i="4"/>
  <c r="J40" i="3" s="1"/>
  <c r="AI34" i="4"/>
  <c r="J42" i="3" s="1"/>
  <c r="AE34" i="4"/>
  <c r="J38" i="3" s="1"/>
  <c r="AG49" i="4"/>
  <c r="AH49" i="4"/>
  <c r="AI49" i="4"/>
  <c r="AD49" i="4"/>
  <c r="AC35" i="4"/>
  <c r="K36" i="3" s="1"/>
  <c r="M13" i="10" s="1"/>
  <c r="AH35" i="4"/>
  <c r="K41" i="3" s="1"/>
  <c r="AE35" i="4"/>
  <c r="K38" i="3" s="1"/>
  <c r="AF35" i="4"/>
  <c r="K39" i="3" s="1"/>
  <c r="AI35" i="4"/>
  <c r="K42" i="3" s="1"/>
  <c r="AF30" i="4"/>
  <c r="AJ30" i="4"/>
  <c r="AH30" i="4"/>
  <c r="AE30" i="4"/>
  <c r="AD36" i="4"/>
  <c r="L37" i="3" s="1"/>
  <c r="AC36" i="4"/>
  <c r="L36" i="3" s="1"/>
  <c r="N13" i="10" s="1"/>
  <c r="AF36" i="4"/>
  <c r="L39" i="3" s="1"/>
  <c r="AG36" i="4"/>
  <c r="L40" i="3" s="1"/>
  <c r="AH32" i="4"/>
  <c r="H41" i="3" s="1"/>
  <c r="AG32" i="4"/>
  <c r="H40" i="3" s="1"/>
  <c r="AI32" i="4"/>
  <c r="H42" i="3" s="1"/>
  <c r="AJ32" i="4"/>
  <c r="H43" i="3" s="1"/>
  <c r="C40" i="3"/>
  <c r="C39" i="3"/>
  <c r="AI45" i="4"/>
  <c r="U42" i="3" s="1"/>
  <c r="AF45" i="4"/>
  <c r="U39" i="3" s="1"/>
  <c r="AC45" i="4"/>
  <c r="U36" i="3" s="1"/>
  <c r="P13" i="10" s="1"/>
  <c r="AB31" i="4"/>
  <c r="G35" i="3" s="1"/>
  <c r="AC43" i="4"/>
  <c r="S36" i="3" s="1"/>
  <c r="AE43" i="4"/>
  <c r="S38" i="3" s="1"/>
  <c r="AI43" i="4"/>
  <c r="S42" i="3" s="1"/>
  <c r="AH43" i="4"/>
  <c r="S41" i="3" s="1"/>
  <c r="AJ43" i="4"/>
  <c r="S43" i="3" s="1"/>
  <c r="AF43" i="4"/>
  <c r="S39" i="3" s="1"/>
  <c r="AD43" i="4"/>
  <c r="S37" i="3" s="1"/>
  <c r="AG43" i="4"/>
  <c r="S40" i="3" s="1"/>
  <c r="AD41" i="4"/>
  <c r="Q37" i="3" s="1"/>
  <c r="AE41" i="4"/>
  <c r="Q38" i="3" s="1"/>
  <c r="AC41" i="4"/>
  <c r="Q36" i="3" s="1"/>
  <c r="AF41" i="4"/>
  <c r="Q39" i="3" s="1"/>
  <c r="AH41" i="4"/>
  <c r="Q41" i="3" s="1"/>
  <c r="AG41" i="4"/>
  <c r="Q40" i="3" s="1"/>
  <c r="AI41" i="4"/>
  <c r="Q42" i="3" s="1"/>
  <c r="AE46" i="4"/>
  <c r="V38" i="3" s="1"/>
  <c r="AC46" i="4"/>
  <c r="V36" i="3" s="1"/>
  <c r="Q13" i="10" s="1"/>
  <c r="AF46" i="4"/>
  <c r="V39" i="3" s="1"/>
  <c r="AJ46" i="4"/>
  <c r="V43" i="3" s="1"/>
  <c r="AD46" i="4"/>
  <c r="V37" i="3" s="1"/>
  <c r="AH46" i="4"/>
  <c r="V41" i="3" s="1"/>
  <c r="AG46" i="4"/>
  <c r="V40" i="3" s="1"/>
  <c r="AB46" i="4"/>
  <c r="V35" i="3" s="1"/>
  <c r="W7" i="9" s="1"/>
  <c r="AI46" i="4"/>
  <c r="V42" i="3" s="1"/>
  <c r="AF39" i="4"/>
  <c r="O39" i="3" s="1"/>
  <c r="AD39" i="4"/>
  <c r="O37" i="3" s="1"/>
  <c r="AH39" i="4"/>
  <c r="O41" i="3" s="1"/>
  <c r="AE39" i="4"/>
  <c r="O38" i="3" s="1"/>
  <c r="AC39" i="4"/>
  <c r="O36" i="3" s="1"/>
  <c r="AJ39" i="4"/>
  <c r="O43" i="3" s="1"/>
  <c r="AB47" i="4"/>
  <c r="AI39" i="4"/>
  <c r="O42" i="3" s="1"/>
  <c r="AG31" i="4"/>
  <c r="G40" i="3" s="1"/>
  <c r="AD32" i="4"/>
  <c r="H37" i="3" s="1"/>
  <c r="AE31" i="4"/>
  <c r="G38" i="3" s="1"/>
  <c r="AG29" i="4"/>
  <c r="E40" i="3" s="1"/>
  <c r="AF29" i="4"/>
  <c r="E39" i="3" s="1"/>
  <c r="AE29" i="4"/>
  <c r="E38" i="3" s="1"/>
  <c r="AC29" i="4"/>
  <c r="E36" i="3" s="1"/>
  <c r="H13" i="10" s="1"/>
  <c r="AH29" i="4"/>
  <c r="E41" i="3" s="1"/>
  <c r="AI29" i="4"/>
  <c r="E42" i="3" s="1"/>
  <c r="AD29" i="4"/>
  <c r="E37" i="3" s="1"/>
  <c r="AJ29" i="4"/>
  <c r="E43" i="3" s="1"/>
  <c r="AB37" i="4"/>
  <c r="M35" i="3" s="1"/>
  <c r="AI31" i="4"/>
  <c r="G42" i="3" s="1"/>
  <c r="AH45" i="4"/>
  <c r="U41" i="3" s="1"/>
  <c r="AE44" i="4"/>
  <c r="T38" i="3" s="1"/>
  <c r="AC44" i="4"/>
  <c r="T36" i="3" s="1"/>
  <c r="O13" i="10" s="1"/>
  <c r="AB44" i="4"/>
  <c r="T35" i="3" s="1"/>
  <c r="AD44" i="4"/>
  <c r="T37" i="3" s="1"/>
  <c r="AF44" i="4"/>
  <c r="T39" i="3" s="1"/>
  <c r="AH44" i="4"/>
  <c r="T41" i="3" s="1"/>
  <c r="AG44" i="4"/>
  <c r="T40" i="3" s="1"/>
  <c r="AJ44" i="4"/>
  <c r="T43" i="3" s="1"/>
  <c r="AD40" i="4"/>
  <c r="P37" i="3" s="1"/>
  <c r="AH40" i="4"/>
  <c r="P41" i="3" s="1"/>
  <c r="AE40" i="4"/>
  <c r="P38" i="3" s="1"/>
  <c r="AF34" i="4"/>
  <c r="J39" i="3" s="1"/>
  <c r="AJ34" i="4"/>
  <c r="J43" i="3" s="1"/>
  <c r="AH34" i="4"/>
  <c r="J41" i="3" s="1"/>
  <c r="AF49" i="4"/>
  <c r="AE49" i="4"/>
  <c r="AC49" i="4"/>
  <c r="AJ35" i="4"/>
  <c r="K43" i="3" s="1"/>
  <c r="AD35" i="4"/>
  <c r="K37" i="3" s="1"/>
  <c r="AB35" i="4"/>
  <c r="K35" i="3" s="1"/>
  <c r="M7" i="9" s="1"/>
  <c r="AG30" i="4"/>
  <c r="AI30" i="4"/>
  <c r="AD30" i="4"/>
  <c r="AB36" i="4"/>
  <c r="L35" i="3" s="1"/>
  <c r="AE36" i="4"/>
  <c r="L38" i="3" s="1"/>
  <c r="AJ36" i="4"/>
  <c r="L43" i="3" s="1"/>
  <c r="AI36" i="4"/>
  <c r="L42" i="3" s="1"/>
  <c r="AB32" i="4"/>
  <c r="H35" i="3" s="1"/>
  <c r="AC32" i="4"/>
  <c r="H36" i="3" s="1"/>
  <c r="I13" i="10" s="1"/>
  <c r="C43" i="3"/>
  <c r="AD45" i="4"/>
  <c r="U37" i="3" s="1"/>
  <c r="AJ45" i="4"/>
  <c r="U43" i="3" s="1"/>
  <c r="AG45" i="4"/>
  <c r="U40" i="3" s="1"/>
  <c r="AB45" i="4"/>
  <c r="U35" i="3" s="1"/>
  <c r="Y39" i="3" l="1"/>
  <c r="Y38" i="3"/>
  <c r="Y42" i="3"/>
  <c r="Y40" i="3"/>
  <c r="Y36" i="3"/>
  <c r="Y37" i="3"/>
  <c r="Y41" i="3"/>
  <c r="Y43" i="3"/>
  <c r="U13" i="10"/>
  <c r="T13" i="10"/>
  <c r="O7" i="9"/>
  <c r="V7" i="9"/>
  <c r="I7" i="9"/>
  <c r="U7" i="9"/>
  <c r="R7" i="9"/>
  <c r="AC35" i="3"/>
  <c r="AB36" i="3"/>
  <c r="AA37" i="3"/>
  <c r="AB35" i="3"/>
  <c r="AA36" i="3"/>
  <c r="AA35" i="3"/>
  <c r="AD35" i="3"/>
  <c r="AC36" i="3"/>
  <c r="AB37" i="3"/>
  <c r="AA38" i="3"/>
  <c r="AF35" i="3"/>
  <c r="AE36" i="3"/>
  <c r="AD37" i="3"/>
  <c r="AC38" i="3"/>
  <c r="AB39" i="3"/>
  <c r="AA40" i="3"/>
  <c r="AE35" i="3"/>
  <c r="AD36" i="3"/>
  <c r="AC37" i="3"/>
  <c r="AB38" i="3"/>
  <c r="AA39" i="3"/>
  <c r="W35" i="3"/>
  <c r="W38" i="3"/>
  <c r="W41" i="3"/>
  <c r="W43" i="3"/>
  <c r="W42" i="3"/>
  <c r="W40" i="3"/>
  <c r="W39" i="3"/>
  <c r="W37" i="3"/>
  <c r="W36" i="3"/>
  <c r="N23" i="5"/>
  <c r="N7" i="9"/>
  <c r="H9" i="9"/>
  <c r="H7" i="9"/>
  <c r="AF11" i="7"/>
  <c r="D7" i="9"/>
  <c r="P23" i="5"/>
  <c r="P7" i="9"/>
  <c r="T9" i="9"/>
  <c r="T7" i="9"/>
  <c r="F9" i="9"/>
  <c r="F7" i="9"/>
  <c r="Q9" i="9"/>
  <c r="Q23" i="5"/>
  <c r="R9" i="9"/>
  <c r="R23" i="5"/>
  <c r="S23" i="5" s="1"/>
  <c r="I23" i="5"/>
  <c r="I37" i="5"/>
  <c r="N37" i="5"/>
  <c r="L34" i="6"/>
  <c r="M37" i="5"/>
  <c r="K34" i="6"/>
  <c r="K37" i="5"/>
  <c r="M34" i="6"/>
  <c r="J23" i="5"/>
  <c r="J37" i="5"/>
  <c r="L37" i="5"/>
  <c r="F19" i="6"/>
  <c r="F34" i="6"/>
  <c r="E19" i="6"/>
  <c r="E34" i="6"/>
  <c r="F37" i="5"/>
  <c r="H34" i="6"/>
  <c r="G19" i="6"/>
  <c r="G34" i="6"/>
  <c r="G37" i="5"/>
  <c r="T37" i="5" s="1"/>
  <c r="D34" i="6"/>
  <c r="O19" i="6"/>
  <c r="O34" i="6"/>
  <c r="L19" i="6"/>
  <c r="M23" i="5"/>
  <c r="K19" i="6"/>
  <c r="K23" i="5"/>
  <c r="M19" i="6"/>
  <c r="L23" i="5"/>
  <c r="H19" i="6"/>
  <c r="G23" i="5"/>
  <c r="T23" i="5" s="1"/>
  <c r="D19" i="6"/>
  <c r="V9" i="9"/>
  <c r="F27" i="6"/>
  <c r="U9" i="9"/>
  <c r="E27" i="6"/>
  <c r="X9" i="9"/>
  <c r="F30" i="5"/>
  <c r="H27" i="6"/>
  <c r="W9" i="9"/>
  <c r="G27" i="6"/>
  <c r="G30" i="5"/>
  <c r="T30" i="5" s="1"/>
  <c r="D27" i="6"/>
  <c r="P9" i="9"/>
  <c r="O27" i="6"/>
  <c r="I9" i="9"/>
  <c r="I30" i="5"/>
  <c r="N9" i="9"/>
  <c r="N30" i="5"/>
  <c r="L27" i="6"/>
  <c r="M9" i="9"/>
  <c r="M30" i="5"/>
  <c r="K27" i="6"/>
  <c r="O9" i="9"/>
  <c r="K30" i="5"/>
  <c r="M27" i="6"/>
  <c r="J9" i="9"/>
  <c r="J30" i="5"/>
  <c r="L9" i="9"/>
  <c r="L30" i="5"/>
  <c r="AC25" i="4"/>
  <c r="D40" i="3"/>
  <c r="AG24" i="4"/>
  <c r="AG23" i="4" s="1"/>
  <c r="D41" i="3"/>
  <c r="AH24" i="4"/>
  <c r="AH23" i="4" s="1"/>
  <c r="AI25" i="4"/>
  <c r="F42" i="3"/>
  <c r="D42" i="3"/>
  <c r="AI24" i="4"/>
  <c r="AI23" i="4" s="1"/>
  <c r="D39" i="3"/>
  <c r="AF24" i="4"/>
  <c r="AF23" i="4" s="1"/>
  <c r="AH25" i="4"/>
  <c r="F41" i="3"/>
  <c r="AF25" i="4"/>
  <c r="F39" i="3"/>
  <c r="AB24" i="4"/>
  <c r="AB23" i="4" s="1"/>
  <c r="D35" i="3"/>
  <c r="AB25" i="4"/>
  <c r="F35" i="3"/>
  <c r="AE24" i="4"/>
  <c r="AE23" i="4" s="1"/>
  <c r="D38" i="3"/>
  <c r="F37" i="3"/>
  <c r="AD25" i="4"/>
  <c r="AG25" i="4"/>
  <c r="F40" i="3"/>
  <c r="D37" i="3"/>
  <c r="AD24" i="4"/>
  <c r="AD23" i="4" s="1"/>
  <c r="D36" i="3"/>
  <c r="AC24" i="4"/>
  <c r="AC23" i="4" s="1"/>
  <c r="F38" i="3"/>
  <c r="AE25" i="4"/>
  <c r="F43" i="3"/>
  <c r="AJ25" i="4"/>
  <c r="AJ24" i="4"/>
  <c r="AJ23" i="4" s="1"/>
  <c r="U20" i="9"/>
  <c r="N20" i="9"/>
  <c r="J20" i="9"/>
  <c r="M20" i="9"/>
  <c r="L20" i="9"/>
  <c r="R20" i="9"/>
  <c r="F20" i="9"/>
  <c r="G20" i="9"/>
  <c r="P20" i="9"/>
  <c r="X20" i="9"/>
  <c r="V20" i="9"/>
  <c r="W20" i="9"/>
  <c r="O20" i="9"/>
  <c r="H20" i="9"/>
  <c r="I20" i="9"/>
  <c r="Q20" i="9"/>
  <c r="E20" i="9"/>
  <c r="U22" i="9"/>
  <c r="P22" i="9"/>
  <c r="E22" i="9"/>
  <c r="F22" i="9"/>
  <c r="T22" i="9"/>
  <c r="R22" i="9"/>
  <c r="Q22" i="9"/>
  <c r="I22" i="9"/>
  <c r="L22" i="9"/>
  <c r="N22" i="9"/>
  <c r="O22" i="9"/>
  <c r="J22" i="9"/>
  <c r="G22" i="9"/>
  <c r="H22" i="9"/>
  <c r="W22" i="9"/>
  <c r="X22" i="9"/>
  <c r="V22" i="9"/>
  <c r="M22" i="9"/>
  <c r="F23" i="9"/>
  <c r="V23" i="9"/>
  <c r="J23" i="9"/>
  <c r="Q23" i="9"/>
  <c r="L23" i="9"/>
  <c r="U23" i="9"/>
  <c r="R23" i="9"/>
  <c r="W23" i="9"/>
  <c r="G23" i="9"/>
  <c r="N23" i="9"/>
  <c r="H23" i="9"/>
  <c r="P23" i="9"/>
  <c r="T23" i="9"/>
  <c r="O23" i="9"/>
  <c r="I23" i="9"/>
  <c r="E23" i="9"/>
  <c r="M23" i="9"/>
  <c r="X23" i="9"/>
  <c r="BE7" i="9" l="1"/>
  <c r="BE25" i="9" s="1"/>
  <c r="BD7" i="9"/>
  <c r="T22" i="10"/>
  <c r="T15" i="10"/>
  <c r="R13" i="10"/>
  <c r="AF13" i="10" s="1"/>
  <c r="F13" i="10"/>
  <c r="AC13" i="10"/>
  <c r="Z13" i="10"/>
  <c r="AA13" i="10"/>
  <c r="AE13" i="10"/>
  <c r="X13" i="10"/>
  <c r="AB13" i="10"/>
  <c r="Y13" i="10"/>
  <c r="V13" i="10"/>
  <c r="AD13" i="10"/>
  <c r="W13" i="10"/>
  <c r="U15" i="10"/>
  <c r="U23" i="10" s="1"/>
  <c r="U22" i="10"/>
  <c r="X7" i="9"/>
  <c r="F23" i="5"/>
  <c r="Z7" i="9"/>
  <c r="J19" i="6"/>
  <c r="Y7" i="9"/>
  <c r="I19" i="6"/>
  <c r="G9" i="9"/>
  <c r="G7" i="9"/>
  <c r="E7" i="9"/>
  <c r="H23" i="5"/>
  <c r="AK23" i="5" s="1"/>
  <c r="H37" i="5"/>
  <c r="AK37" i="5" s="1"/>
  <c r="U37" i="5"/>
  <c r="V37" i="5"/>
  <c r="V23" i="5"/>
  <c r="AI23" i="5" s="1"/>
  <c r="AI26" i="5" s="1"/>
  <c r="U23" i="5"/>
  <c r="E9" i="9"/>
  <c r="H30" i="5"/>
  <c r="AK30" i="5" s="1"/>
  <c r="U30" i="5"/>
  <c r="AJ30" i="5" s="1"/>
  <c r="V30" i="5"/>
  <c r="AI30" i="5" s="1"/>
  <c r="V28" i="10" l="1"/>
  <c r="W28" i="10"/>
  <c r="Y28" i="10"/>
  <c r="AA28" i="10"/>
  <c r="AC28" i="10"/>
  <c r="AE28" i="10"/>
  <c r="X28" i="10"/>
  <c r="Z28" i="10"/>
  <c r="AB28" i="10"/>
  <c r="AD28" i="10"/>
  <c r="AF28" i="10"/>
  <c r="V27" i="10"/>
  <c r="W27" i="10"/>
  <c r="Y27" i="10"/>
  <c r="AA27" i="10"/>
  <c r="AC27" i="10"/>
  <c r="AE27" i="10"/>
  <c r="X27" i="10"/>
  <c r="Z27" i="10"/>
  <c r="AB27" i="10"/>
  <c r="AD27" i="10"/>
  <c r="AF27" i="10"/>
  <c r="V26" i="10"/>
  <c r="W26" i="10"/>
  <c r="Y26" i="10"/>
  <c r="AA26" i="10"/>
  <c r="AC26" i="10"/>
  <c r="AE26" i="10"/>
  <c r="X26" i="10"/>
  <c r="Z26" i="10"/>
  <c r="AB26" i="10"/>
  <c r="AD26" i="10"/>
  <c r="AF26" i="10"/>
  <c r="V16" i="10"/>
  <c r="W16" i="10"/>
  <c r="Y16" i="10"/>
  <c r="AA16" i="10"/>
  <c r="AC16" i="10"/>
  <c r="AE16" i="10"/>
  <c r="X16" i="10"/>
  <c r="Z16" i="10"/>
  <c r="AB16" i="10"/>
  <c r="AD16" i="10"/>
  <c r="AF16" i="10"/>
  <c r="V24" i="10"/>
  <c r="W24" i="10"/>
  <c r="Y24" i="10"/>
  <c r="AA24" i="10"/>
  <c r="AC24" i="10"/>
  <c r="AE24" i="10"/>
  <c r="X24" i="10"/>
  <c r="Z24" i="10"/>
  <c r="AB24" i="10"/>
  <c r="AD24" i="10"/>
  <c r="AF24" i="10"/>
  <c r="AG16" i="10"/>
  <c r="AG21" i="10" s="1"/>
  <c r="U29" i="10"/>
  <c r="AD37" i="5"/>
  <c r="AI37" i="5"/>
  <c r="BD25" i="9"/>
  <c r="BF7" i="9"/>
  <c r="U16" i="10"/>
  <c r="AD22" i="10"/>
  <c r="AD15" i="10"/>
  <c r="Y22" i="10"/>
  <c r="Y15" i="10"/>
  <c r="AB22" i="10"/>
  <c r="AB15" i="10"/>
  <c r="AE15" i="10"/>
  <c r="AE22" i="10"/>
  <c r="Z22" i="10"/>
  <c r="Z15" i="10"/>
  <c r="AA23" i="10"/>
  <c r="U24" i="10"/>
  <c r="Y23" i="10"/>
  <c r="AB23" i="10"/>
  <c r="Z23" i="10"/>
  <c r="W15" i="10"/>
  <c r="W22" i="10"/>
  <c r="V15" i="10"/>
  <c r="V22" i="10"/>
  <c r="AF15" i="10"/>
  <c r="AF22" i="10"/>
  <c r="X15" i="10"/>
  <c r="X22" i="10"/>
  <c r="AA15" i="10"/>
  <c r="AA22" i="10"/>
  <c r="AC15" i="10"/>
  <c r="AC22" i="10"/>
  <c r="AH23" i="5"/>
  <c r="AD23" i="5"/>
  <c r="AH30" i="5"/>
  <c r="AD30" i="5"/>
  <c r="P34" i="6"/>
  <c r="AJ37" i="5"/>
  <c r="AB37" i="5"/>
  <c r="AH37" i="5"/>
  <c r="U26" i="5"/>
  <c r="P22" i="6" s="1"/>
  <c r="AC23" i="5"/>
  <c r="AC26" i="5" s="1"/>
  <c r="V26" i="5"/>
  <c r="V27" i="5" s="1"/>
  <c r="P19" i="6"/>
  <c r="AJ23" i="5"/>
  <c r="AJ26" i="5" s="1"/>
  <c r="AB23" i="5"/>
  <c r="AB26" i="5" s="1"/>
  <c r="Q34" i="6"/>
  <c r="AE37" i="5"/>
  <c r="AF37" i="5"/>
  <c r="W37" i="5"/>
  <c r="Y37" i="5"/>
  <c r="Z37" i="5"/>
  <c r="AG37" i="5"/>
  <c r="X37" i="5"/>
  <c r="AA37" i="5"/>
  <c r="AC37" i="5"/>
  <c r="Z23" i="5"/>
  <c r="Z26" i="5" s="1"/>
  <c r="Q19" i="6"/>
  <c r="AE23" i="5"/>
  <c r="AE26" i="5" s="1"/>
  <c r="Y23" i="5"/>
  <c r="Y26" i="5" s="1"/>
  <c r="W23" i="5"/>
  <c r="W26" i="5" s="1"/>
  <c r="AF23" i="5"/>
  <c r="AF26" i="5" s="1"/>
  <c r="AG23" i="5"/>
  <c r="AA23" i="5"/>
  <c r="AA26" i="5" s="1"/>
  <c r="X23" i="5"/>
  <c r="X26" i="5" s="1"/>
  <c r="AB30" i="5"/>
  <c r="AG30" i="5"/>
  <c r="Z30" i="5"/>
  <c r="AA30" i="5"/>
  <c r="W30" i="5"/>
  <c r="Y30" i="5"/>
  <c r="Q27" i="6"/>
  <c r="X30" i="5"/>
  <c r="AF30" i="5"/>
  <c r="AE30" i="5"/>
  <c r="P27" i="6"/>
  <c r="AC30" i="5"/>
  <c r="Y27" i="5" l="1"/>
  <c r="AA27" i="5"/>
  <c r="AC27" i="5"/>
  <c r="X27" i="5"/>
  <c r="Z27" i="5"/>
  <c r="AB27" i="5"/>
  <c r="W27" i="5"/>
  <c r="V29" i="10"/>
  <c r="AJ98" i="10"/>
  <c r="AK98" i="10" s="1"/>
  <c r="AJ53" i="10"/>
  <c r="AK53" i="10" s="1"/>
  <c r="AJ93" i="10"/>
  <c r="AK93" i="10" s="1"/>
  <c r="AJ82" i="10"/>
  <c r="AK82" i="10" s="1"/>
  <c r="AJ70" i="10"/>
  <c r="AK70" i="10" s="1"/>
  <c r="AJ48" i="10"/>
  <c r="AK48" i="10" s="1"/>
  <c r="AJ50" i="10"/>
  <c r="AK50" i="10" s="1"/>
  <c r="AJ90" i="10"/>
  <c r="AK90" i="10" s="1"/>
  <c r="AJ79" i="10"/>
  <c r="AK79" i="10" s="1"/>
  <c r="AJ63" i="10"/>
  <c r="AK63" i="10" s="1"/>
  <c r="W29" i="10"/>
  <c r="AE29" i="10"/>
  <c r="AB29" i="10"/>
  <c r="AJ77" i="10"/>
  <c r="AK77" i="10" s="1"/>
  <c r="AJ99" i="10"/>
  <c r="AK99" i="10" s="1"/>
  <c r="AJ91" i="10"/>
  <c r="AK91" i="10" s="1"/>
  <c r="AJ80" i="10"/>
  <c r="AK80" i="10" s="1"/>
  <c r="AJ68" i="10"/>
  <c r="AK68" i="10" s="1"/>
  <c r="AJ56" i="10"/>
  <c r="AK56" i="10" s="1"/>
  <c r="AJ96" i="10"/>
  <c r="AK96" i="10" s="1"/>
  <c r="AJ85" i="10"/>
  <c r="AK85" i="10" s="1"/>
  <c r="AJ71" i="10"/>
  <c r="AK71" i="10" s="1"/>
  <c r="AJ55" i="10"/>
  <c r="AK55" i="10" s="1"/>
  <c r="Y29" i="10"/>
  <c r="Z29" i="10"/>
  <c r="AJ67" i="10"/>
  <c r="AK67" i="10" s="1"/>
  <c r="AJ97" i="10"/>
  <c r="AK97" i="10" s="1"/>
  <c r="AJ86" i="10"/>
  <c r="AK86" i="10" s="1"/>
  <c r="AJ78" i="10"/>
  <c r="AK78" i="10" s="1"/>
  <c r="AJ66" i="10"/>
  <c r="AK66" i="10" s="1"/>
  <c r="AJ54" i="10"/>
  <c r="AK54" i="10" s="1"/>
  <c r="AJ94" i="10"/>
  <c r="AK94" i="10" s="1"/>
  <c r="AJ83" i="10"/>
  <c r="AK83" i="10" s="1"/>
  <c r="AJ69" i="10"/>
  <c r="AK69" i="10" s="1"/>
  <c r="AJ51" i="10"/>
  <c r="AK51" i="10" s="1"/>
  <c r="AA29" i="10"/>
  <c r="X29" i="10"/>
  <c r="AF29" i="10"/>
  <c r="AJ57" i="10"/>
  <c r="AK57" i="10" s="1"/>
  <c r="AJ95" i="10"/>
  <c r="AK95" i="10" s="1"/>
  <c r="AJ84" i="10"/>
  <c r="AK84" i="10" s="1"/>
  <c r="AJ72" i="10"/>
  <c r="AK72" i="10" s="1"/>
  <c r="AJ64" i="10"/>
  <c r="AK64" i="10" s="1"/>
  <c r="AJ52" i="10"/>
  <c r="AK52" i="10" s="1"/>
  <c r="AJ92" i="10"/>
  <c r="AK92" i="10" s="1"/>
  <c r="AJ81" i="10"/>
  <c r="AK81" i="10" s="1"/>
  <c r="AJ65" i="10"/>
  <c r="AK65" i="10" s="1"/>
  <c r="AJ49" i="10"/>
  <c r="AK49" i="10" s="1"/>
  <c r="AC29" i="10"/>
  <c r="AD29" i="10"/>
  <c r="AC15" i="5"/>
  <c r="V34" i="6"/>
  <c r="AC34" i="6"/>
  <c r="V27" i="6"/>
  <c r="AC27" i="6"/>
  <c r="V19" i="6"/>
  <c r="V22" i="6" s="1"/>
  <c r="AC19" i="6"/>
  <c r="AH26" i="5"/>
  <c r="AG26" i="5"/>
  <c r="AD26" i="5"/>
  <c r="S34" i="6"/>
  <c r="Z34" i="6"/>
  <c r="AA34" i="6"/>
  <c r="T34" i="6"/>
  <c r="W34" i="6"/>
  <c r="X34" i="6"/>
  <c r="U34" i="6"/>
  <c r="R34" i="6"/>
  <c r="Y34" i="6"/>
  <c r="AB34" i="6"/>
  <c r="T19" i="6"/>
  <c r="T22" i="6" s="1"/>
  <c r="W19" i="6"/>
  <c r="W22" i="6" s="1"/>
  <c r="Z19" i="6"/>
  <c r="Z22" i="6" s="1"/>
  <c r="X19" i="6"/>
  <c r="X22" i="6" s="1"/>
  <c r="AA19" i="6"/>
  <c r="AA22" i="6" s="1"/>
  <c r="R19" i="6"/>
  <c r="R22" i="6" s="1"/>
  <c r="U19" i="6"/>
  <c r="U22" i="6" s="1"/>
  <c r="S19" i="6"/>
  <c r="S22" i="6" s="1"/>
  <c r="AB19" i="6"/>
  <c r="AB22" i="6" s="1"/>
  <c r="Y19" i="6"/>
  <c r="Y22" i="6" s="1"/>
  <c r="R27" i="6"/>
  <c r="U27" i="6"/>
  <c r="S27" i="6"/>
  <c r="W27" i="6"/>
  <c r="T27" i="6"/>
  <c r="O29" i="6"/>
  <c r="AB29" i="6" s="1"/>
  <c r="O35" i="6"/>
  <c r="AB35" i="6" s="1"/>
  <c r="AU49" i="10" l="1"/>
  <c r="AW49" i="10"/>
  <c r="AV49" i="10"/>
  <c r="AT49" i="10"/>
  <c r="AX49" i="10"/>
  <c r="AV81" i="10"/>
  <c r="AU81" i="10"/>
  <c r="AX81" i="10"/>
  <c r="AT81" i="10"/>
  <c r="AY81" i="10"/>
  <c r="AW81" i="10"/>
  <c r="AT52" i="10"/>
  <c r="AU52" i="10"/>
  <c r="AY52" i="10"/>
  <c r="AW52" i="10"/>
  <c r="AX52" i="10"/>
  <c r="AV52" i="10"/>
  <c r="AX72" i="10"/>
  <c r="AV72" i="10"/>
  <c r="AW72" i="10"/>
  <c r="AW95" i="10"/>
  <c r="AV95" i="10"/>
  <c r="AY95" i="10"/>
  <c r="AU95" i="10"/>
  <c r="AT95" i="10"/>
  <c r="AX95" i="10"/>
  <c r="AX69" i="10"/>
  <c r="AW69" i="10"/>
  <c r="AU69" i="10"/>
  <c r="AT69" i="10"/>
  <c r="AY69" i="10"/>
  <c r="AV69" i="10"/>
  <c r="AT94" i="10"/>
  <c r="AY94" i="10"/>
  <c r="AU94" i="10"/>
  <c r="AV94" i="10"/>
  <c r="AW94" i="10"/>
  <c r="AX94" i="10"/>
  <c r="AU66" i="10"/>
  <c r="AX66" i="10"/>
  <c r="AV66" i="10"/>
  <c r="AW66" i="10"/>
  <c r="AT66" i="10"/>
  <c r="AY66" i="10"/>
  <c r="AX86" i="10"/>
  <c r="AW86" i="10"/>
  <c r="AV86" i="10"/>
  <c r="AX67" i="10"/>
  <c r="AT67" i="10"/>
  <c r="AV67" i="10"/>
  <c r="AY67" i="10"/>
  <c r="AU67" i="10"/>
  <c r="AW67" i="10"/>
  <c r="AX55" i="10"/>
  <c r="AV55" i="10"/>
  <c r="AW55" i="10"/>
  <c r="AT55" i="10"/>
  <c r="AY55" i="10"/>
  <c r="AU55" i="10"/>
  <c r="AX85" i="10"/>
  <c r="AU85" i="10"/>
  <c r="AT85" i="10"/>
  <c r="AW85" i="10"/>
  <c r="AV85" i="10"/>
  <c r="AW56" i="10"/>
  <c r="AX56" i="10"/>
  <c r="AV56" i="10"/>
  <c r="AT56" i="10"/>
  <c r="AU56" i="10"/>
  <c r="AX80" i="10"/>
  <c r="AU80" i="10"/>
  <c r="AW80" i="10"/>
  <c r="AT80" i="10"/>
  <c r="AV80" i="10"/>
  <c r="AY80" i="10"/>
  <c r="AV99" i="10"/>
  <c r="AX99" i="10"/>
  <c r="AW99" i="10"/>
  <c r="AV79" i="10"/>
  <c r="AW79" i="10"/>
  <c r="AY79" i="10"/>
  <c r="AU79" i="10"/>
  <c r="AT79" i="10"/>
  <c r="AX79" i="10"/>
  <c r="AT50" i="10"/>
  <c r="AU50" i="10"/>
  <c r="AX50" i="10"/>
  <c r="AW50" i="10"/>
  <c r="AY50" i="10"/>
  <c r="AV50" i="10"/>
  <c r="AW70" i="10"/>
  <c r="AV70" i="10"/>
  <c r="AX70" i="10"/>
  <c r="AU70" i="10"/>
  <c r="AT70" i="10"/>
  <c r="AY70" i="10"/>
  <c r="AU93" i="10"/>
  <c r="AV93" i="10"/>
  <c r="AT93" i="10"/>
  <c r="AY93" i="10"/>
  <c r="AX93" i="10"/>
  <c r="AW93" i="10"/>
  <c r="AW98" i="10"/>
  <c r="AV98" i="10"/>
  <c r="AT98" i="10"/>
  <c r="AX98" i="10"/>
  <c r="AU98" i="10"/>
  <c r="AV65" i="10"/>
  <c r="AY65" i="10"/>
  <c r="AU65" i="10"/>
  <c r="AW65" i="10"/>
  <c r="AX65" i="10"/>
  <c r="AT65" i="10"/>
  <c r="AW92" i="10"/>
  <c r="AT92" i="10"/>
  <c r="AX92" i="10"/>
  <c r="AU92" i="10"/>
  <c r="AY92" i="10"/>
  <c r="AV92" i="10"/>
  <c r="AX64" i="10"/>
  <c r="AW64" i="10"/>
  <c r="AU64" i="10"/>
  <c r="AT64" i="10"/>
  <c r="AV64" i="10"/>
  <c r="AY84" i="10"/>
  <c r="AT84" i="10"/>
  <c r="AV84" i="10"/>
  <c r="AX84" i="10"/>
  <c r="AU84" i="10"/>
  <c r="AW84" i="10"/>
  <c r="AW57" i="10"/>
  <c r="AX57" i="10"/>
  <c r="AV57" i="10"/>
  <c r="AX51" i="10"/>
  <c r="AU51" i="10"/>
  <c r="AV51" i="10"/>
  <c r="AW51" i="10"/>
  <c r="AT51" i="10"/>
  <c r="AY51" i="10"/>
  <c r="AT83" i="10"/>
  <c r="AU83" i="10"/>
  <c r="AX83" i="10"/>
  <c r="AV83" i="10"/>
  <c r="AW83" i="10"/>
  <c r="AY83" i="10"/>
  <c r="AW54" i="10"/>
  <c r="AY54" i="10"/>
  <c r="AX54" i="10"/>
  <c r="AT54" i="10"/>
  <c r="AU54" i="10"/>
  <c r="AV54" i="10"/>
  <c r="AX78" i="10"/>
  <c r="AV78" i="10"/>
  <c r="AW78" i="10"/>
  <c r="AU78" i="10"/>
  <c r="AT78" i="10"/>
  <c r="AW97" i="10"/>
  <c r="AY97" i="10"/>
  <c r="AV97" i="10"/>
  <c r="AU97" i="10"/>
  <c r="AT97" i="10"/>
  <c r="AX97" i="10"/>
  <c r="AF23" i="10"/>
  <c r="AE23" i="10"/>
  <c r="AD23" i="10"/>
  <c r="AC23" i="10"/>
  <c r="AX71" i="10"/>
  <c r="AW71" i="10"/>
  <c r="AT71" i="10"/>
  <c r="AU71" i="10"/>
  <c r="AV71" i="10"/>
  <c r="AU96" i="10"/>
  <c r="AW96" i="10"/>
  <c r="AV96" i="10"/>
  <c r="AY96" i="10"/>
  <c r="AT96" i="10"/>
  <c r="AX96" i="10"/>
  <c r="AY68" i="10"/>
  <c r="AT68" i="10"/>
  <c r="AX68" i="10"/>
  <c r="AU68" i="10"/>
  <c r="AW68" i="10"/>
  <c r="AV68" i="10"/>
  <c r="AW91" i="10"/>
  <c r="AX91" i="10"/>
  <c r="AV91" i="10"/>
  <c r="AT91" i="10"/>
  <c r="AU91" i="10"/>
  <c r="AU77" i="10"/>
  <c r="AW77" i="10"/>
  <c r="AV77" i="10"/>
  <c r="AT77" i="10"/>
  <c r="AW63" i="10"/>
  <c r="AT63" i="10"/>
  <c r="AV63" i="10"/>
  <c r="AU63" i="10"/>
  <c r="AU90" i="10"/>
  <c r="AT90" i="10"/>
  <c r="AW90" i="10"/>
  <c r="AV90" i="10"/>
  <c r="AT48" i="10"/>
  <c r="AV48" i="10"/>
  <c r="AW48" i="10"/>
  <c r="AU48" i="10"/>
  <c r="AT82" i="10"/>
  <c r="AU82" i="10"/>
  <c r="AW82" i="10"/>
  <c r="AY82" i="10"/>
  <c r="AV82" i="10"/>
  <c r="AX82" i="10"/>
  <c r="AU53" i="10"/>
  <c r="AW53" i="10"/>
  <c r="AV53" i="10"/>
  <c r="AX53" i="10"/>
  <c r="AY53" i="10"/>
  <c r="AT53" i="10"/>
  <c r="AW58" i="10" l="1"/>
  <c r="AT58" i="10"/>
  <c r="AW100" i="10"/>
  <c r="AU100" i="10"/>
  <c r="AV73" i="10"/>
  <c r="AW73" i="10"/>
  <c r="AU87" i="10"/>
  <c r="AX100" i="10"/>
  <c r="AY73" i="10"/>
  <c r="AV87" i="10"/>
  <c r="AY87" i="10"/>
  <c r="AX58" i="10"/>
  <c r="AU58" i="10"/>
  <c r="AV58" i="10"/>
  <c r="AV100" i="10"/>
  <c r="AT100" i="10"/>
  <c r="AU73" i="10"/>
  <c r="AT73" i="10"/>
  <c r="AT87" i="10"/>
  <c r="AW87" i="10"/>
  <c r="AX87" i="10"/>
  <c r="AX73" i="10"/>
  <c r="AY100" i="10"/>
  <c r="AY58" i="10"/>
  <c r="T21" i="9" l="1"/>
  <c r="P21" i="9"/>
  <c r="U21" i="9"/>
  <c r="O21" i="9"/>
  <c r="Q21" i="9"/>
  <c r="N21" i="9"/>
  <c r="X21" i="9"/>
  <c r="L21" i="9"/>
  <c r="F21" i="9"/>
  <c r="W21" i="9"/>
  <c r="V21" i="9"/>
  <c r="I21" i="9"/>
  <c r="E21" i="9"/>
  <c r="M21" i="9"/>
  <c r="T20" i="9"/>
  <c r="G21" i="9"/>
  <c r="J21" i="9"/>
  <c r="R21" i="9"/>
  <c r="H21" i="9"/>
  <c r="U13" i="9"/>
  <c r="O13" i="9"/>
  <c r="Q13" i="9"/>
  <c r="N13" i="9"/>
  <c r="V13" i="9"/>
  <c r="J13" i="9"/>
  <c r="W13" i="9"/>
  <c r="F13" i="9"/>
  <c r="E13" i="9"/>
  <c r="X13" i="9"/>
  <c r="P13" i="9"/>
  <c r="M13" i="9"/>
  <c r="L13" i="9"/>
  <c r="I13" i="9"/>
  <c r="T13" i="9"/>
  <c r="H13" i="9"/>
  <c r="R13" i="9"/>
  <c r="G13" i="9"/>
  <c r="V15" i="9"/>
  <c r="I15" i="9"/>
  <c r="X15" i="9"/>
  <c r="W15" i="9"/>
  <c r="Q15" i="9"/>
  <c r="P15" i="9"/>
  <c r="O15" i="9"/>
  <c r="N15" i="9"/>
  <c r="U15" i="9"/>
  <c r="F15" i="9"/>
  <c r="E15" i="9"/>
  <c r="J15" i="9"/>
  <c r="L15" i="9"/>
  <c r="H15" i="9"/>
  <c r="T15" i="9"/>
  <c r="M15" i="9"/>
  <c r="G15" i="9"/>
  <c r="R15" i="9"/>
  <c r="BA13" i="9" l="1"/>
  <c r="BA25" i="9" s="1"/>
  <c r="BF13" i="9" l="1"/>
  <c r="BF25" i="9" s="1"/>
  <c r="Q22" i="6" l="1"/>
  <c r="W23" i="6" l="1"/>
  <c r="U23" i="6"/>
  <c r="S23" i="6"/>
  <c r="V23" i="6"/>
  <c r="T23" i="6"/>
  <c r="R23" i="6"/>
  <c r="AA24" i="6"/>
  <c r="X24" i="6"/>
  <c r="Y24" i="6"/>
  <c r="AB24" i="6"/>
  <c r="Z24" i="6"/>
  <c r="H18" i="9" l="1"/>
  <c r="Y18" i="9"/>
  <c r="Z18" i="9"/>
  <c r="R18" i="9"/>
  <c r="T18" i="9"/>
  <c r="L18" i="9"/>
  <c r="Q18" i="9"/>
  <c r="F18" i="9"/>
  <c r="M18" i="9"/>
  <c r="X18" i="9"/>
  <c r="I18" i="9"/>
  <c r="G18" i="9"/>
  <c r="J18" i="9"/>
  <c r="U18" i="9"/>
  <c r="E18" i="9"/>
  <c r="W18" i="9"/>
  <c r="P18" i="9"/>
  <c r="N18" i="9"/>
  <c r="O18" i="9"/>
  <c r="V18" i="9"/>
  <c r="D18" i="9"/>
  <c r="AT49" i="9" l="1"/>
  <c r="AU49" i="9"/>
  <c r="AR49" i="9"/>
  <c r="AS49" i="9"/>
  <c r="AM49" i="9"/>
  <c r="AO49" i="9"/>
  <c r="AP49" i="9"/>
  <c r="AQ49" i="9"/>
  <c r="AN49" i="9"/>
  <c r="AM67" i="9"/>
  <c r="AR67" i="9"/>
  <c r="AU67" i="9"/>
  <c r="AN67" i="9"/>
  <c r="AP67" i="9"/>
  <c r="AO67" i="9"/>
  <c r="AT67" i="9"/>
  <c r="AS67" i="9"/>
  <c r="AQ67" i="9"/>
  <c r="AN26" i="9"/>
  <c r="AN34" i="9" s="1"/>
  <c r="AO26" i="9"/>
  <c r="AO34" i="9" s="1"/>
  <c r="AU26" i="9"/>
  <c r="AU34" i="9" s="1"/>
  <c r="AT26" i="9"/>
  <c r="AT34" i="9" s="1"/>
  <c r="AS26" i="9"/>
  <c r="AS34" i="9" s="1"/>
  <c r="AP26" i="9"/>
  <c r="AQ26" i="9"/>
  <c r="AQ34" i="9" s="1"/>
  <c r="AR26" i="9"/>
  <c r="AR34" i="9" s="1"/>
  <c r="G31" i="5"/>
  <c r="T31" i="5" s="1"/>
  <c r="D28" i="6"/>
  <c r="AR58" i="9"/>
  <c r="AS58" i="9"/>
  <c r="AN58" i="9"/>
  <c r="AP58" i="9"/>
  <c r="AM58" i="9"/>
  <c r="AO58" i="9"/>
  <c r="AQ58" i="9"/>
  <c r="AU58" i="9"/>
  <c r="AT58" i="9"/>
  <c r="AQ65" i="9"/>
  <c r="AQ66" i="9"/>
  <c r="AU56" i="9"/>
  <c r="AO56" i="9"/>
  <c r="AP56" i="9"/>
  <c r="AR56" i="9"/>
  <c r="AQ56" i="9"/>
  <c r="AS60" i="9"/>
  <c r="AU60" i="9"/>
  <c r="AP60" i="9"/>
  <c r="AM60" i="9"/>
  <c r="AO60" i="9"/>
  <c r="AM50" i="9"/>
  <c r="AR50" i="9"/>
  <c r="AU50" i="9"/>
  <c r="AT50" i="9"/>
  <c r="AN50" i="9"/>
  <c r="AN42" i="9"/>
  <c r="AN28" i="9" s="1"/>
  <c r="AS54" i="9"/>
  <c r="AT53" i="9"/>
  <c r="AP53" i="9"/>
  <c r="AP54" i="9"/>
  <c r="AO53" i="9"/>
  <c r="AM53" i="9"/>
  <c r="AN53" i="9"/>
  <c r="AM26" i="9"/>
  <c r="AM34" i="9" s="1"/>
  <c r="AU62" i="9"/>
  <c r="AQ62" i="9"/>
  <c r="AP62" i="9"/>
  <c r="AT62" i="9"/>
  <c r="AS62" i="9"/>
  <c r="AP52" i="9"/>
  <c r="AR52" i="9"/>
  <c r="AM52" i="9"/>
  <c r="AS52" i="9"/>
  <c r="AQ52" i="9"/>
  <c r="AP63" i="9"/>
  <c r="AT63" i="9"/>
  <c r="AS63" i="9"/>
  <c r="AQ63" i="9"/>
  <c r="AN63" i="9"/>
  <c r="AU63" i="9"/>
  <c r="AR62" i="9"/>
  <c r="AM62" i="9"/>
  <c r="AN52" i="9"/>
  <c r="AU52" i="9"/>
  <c r="AO63" i="9"/>
  <c r="AS53" i="9"/>
  <c r="AN62" i="9"/>
  <c r="AO62" i="9"/>
  <c r="AO52" i="9"/>
  <c r="AT52" i="9"/>
  <c r="AM63" i="9"/>
  <c r="AR63" i="9"/>
  <c r="AM61" i="9"/>
  <c r="AT44" i="9"/>
  <c r="AQ54" i="9"/>
  <c r="AT54" i="9"/>
  <c r="AR54" i="9"/>
  <c r="AM54" i="9"/>
  <c r="AN54" i="9"/>
  <c r="AQ53" i="9"/>
  <c r="AU53" i="9"/>
  <c r="AR53" i="9"/>
  <c r="AO54" i="9"/>
  <c r="AU54" i="9"/>
  <c r="AQ42" i="9"/>
  <c r="AQ28" i="9" s="1"/>
  <c r="BA37" i="9" s="1"/>
  <c r="AR48" i="9"/>
  <c r="AS47" i="9"/>
  <c r="AS29" i="9" s="1"/>
  <c r="AU51" i="9"/>
  <c r="AO55" i="9"/>
  <c r="AR60" i="9"/>
  <c r="AS66" i="9"/>
  <c r="AO64" i="9"/>
  <c r="AN43" i="9"/>
  <c r="AQ50" i="9"/>
  <c r="AS56" i="9"/>
  <c r="AP65" i="9"/>
  <c r="AP64" i="9"/>
  <c r="AM64" i="9"/>
  <c r="AR64" i="9"/>
  <c r="AN64" i="9"/>
  <c r="AX33" i="9" s="1"/>
  <c r="AN51" i="9"/>
  <c r="AM51" i="9"/>
  <c r="AS51" i="9"/>
  <c r="AQ51" i="9"/>
  <c r="AS43" i="9"/>
  <c r="AU43" i="9"/>
  <c r="AQ43" i="9"/>
  <c r="AR43" i="9"/>
  <c r="AM55" i="9"/>
  <c r="AP55" i="9"/>
  <c r="AT55" i="9"/>
  <c r="AN55" i="9"/>
  <c r="AX29" i="9" s="1"/>
  <c r="P46" i="3" s="1"/>
  <c r="Q31" i="5" s="1"/>
  <c r="AQ61" i="9"/>
  <c r="AO61" i="9"/>
  <c r="AP61" i="9"/>
  <c r="AN61" i="9"/>
  <c r="AX30" i="9" s="1"/>
  <c r="T46" i="3" s="1"/>
  <c r="E28" i="6" s="1"/>
  <c r="AR61" i="9"/>
  <c r="AM48" i="9"/>
  <c r="AU48" i="9"/>
  <c r="AS48" i="9"/>
  <c r="AP48" i="9"/>
  <c r="AN44" i="9"/>
  <c r="AN45" i="9" s="1"/>
  <c r="F46" i="3" s="1"/>
  <c r="AU44" i="9"/>
  <c r="AS44" i="9"/>
  <c r="AR44" i="9"/>
  <c r="AQ44" i="9"/>
  <c r="AN47" i="9"/>
  <c r="AN29" i="9" s="1"/>
  <c r="AT47" i="9"/>
  <c r="AT29" i="9" s="1"/>
  <c r="AR47" i="9"/>
  <c r="AR29" i="9" s="1"/>
  <c r="AU47" i="9"/>
  <c r="AU29" i="9" s="1"/>
  <c r="AO66" i="9"/>
  <c r="AR66" i="9"/>
  <c r="AM66" i="9"/>
  <c r="AU66" i="9"/>
  <c r="AN65" i="9"/>
  <c r="AM65" i="9"/>
  <c r="AO65" i="9"/>
  <c r="AU65" i="9"/>
  <c r="AR42" i="9"/>
  <c r="AR28" i="9" s="1"/>
  <c r="BB37" i="9" s="1"/>
  <c r="AO42" i="9"/>
  <c r="AO28" i="9" s="1"/>
  <c r="AY37" i="9" s="1"/>
  <c r="AT42" i="9"/>
  <c r="AT28" i="9" s="1"/>
  <c r="BD37" i="9" s="1"/>
  <c r="AP42" i="9"/>
  <c r="AP28" i="9" s="1"/>
  <c r="AZ37" i="9" s="1"/>
  <c r="AS42" i="9"/>
  <c r="AS28" i="9" s="1"/>
  <c r="BC37" i="9" s="1"/>
  <c r="AM42" i="9"/>
  <c r="AM28" i="9" s="1"/>
  <c r="AU42" i="9"/>
  <c r="AU28" i="9" s="1"/>
  <c r="BE37" i="9" s="1"/>
  <c r="AQ64" i="9"/>
  <c r="AU64" i="9"/>
  <c r="AT64" i="9"/>
  <c r="AS64" i="9"/>
  <c r="AP51" i="9"/>
  <c r="AT51" i="9"/>
  <c r="AR51" i="9"/>
  <c r="AO51" i="9"/>
  <c r="AT43" i="9"/>
  <c r="AP43" i="9"/>
  <c r="AM43" i="9"/>
  <c r="AO43" i="9"/>
  <c r="AU55" i="9"/>
  <c r="AR55" i="9"/>
  <c r="AQ55" i="9"/>
  <c r="AS55" i="9"/>
  <c r="AT61" i="9"/>
  <c r="AU61" i="9"/>
  <c r="AS61" i="9"/>
  <c r="AN48" i="9"/>
  <c r="AQ48" i="9"/>
  <c r="AT48" i="9"/>
  <c r="AO48" i="9"/>
  <c r="AP44" i="9"/>
  <c r="AO44" i="9"/>
  <c r="AM44" i="9"/>
  <c r="AO47" i="9"/>
  <c r="AO29" i="9" s="1"/>
  <c r="AP47" i="9"/>
  <c r="AP29" i="9" s="1"/>
  <c r="AM47" i="9"/>
  <c r="AM29" i="9" s="1"/>
  <c r="AQ47" i="9"/>
  <c r="AQ29" i="9" s="1"/>
  <c r="AP50" i="9"/>
  <c r="AS50" i="9"/>
  <c r="AO50" i="9"/>
  <c r="AT60" i="9"/>
  <c r="AQ60" i="9"/>
  <c r="AN60" i="9"/>
  <c r="AN56" i="9"/>
  <c r="AN57" i="9" s="1"/>
  <c r="Q46" i="3" s="1"/>
  <c r="R31" i="5" s="1"/>
  <c r="S31" i="5" s="1"/>
  <c r="AT56" i="9"/>
  <c r="AM56" i="9"/>
  <c r="AN66" i="9"/>
  <c r="AT66" i="9"/>
  <c r="AP66" i="9"/>
  <c r="AS65" i="9"/>
  <c r="AR65" i="9"/>
  <c r="AT65" i="9"/>
  <c r="AX27" i="9" l="1"/>
  <c r="M46" i="3" s="1"/>
  <c r="AP34" i="9"/>
  <c r="AW36" i="9"/>
  <c r="AW37" i="9" s="1"/>
  <c r="BA36" i="9"/>
  <c r="K49" i="3"/>
  <c r="BC36" i="9"/>
  <c r="BE36" i="9"/>
  <c r="K53" i="3"/>
  <c r="AX36" i="9"/>
  <c r="AX37" i="9" s="1"/>
  <c r="BB36" i="9"/>
  <c r="AZ36" i="9"/>
  <c r="BD36" i="9"/>
  <c r="AY36" i="9"/>
  <c r="AN41" i="9"/>
  <c r="C46" i="3" s="1"/>
  <c r="AX35" i="9"/>
  <c r="Y46" i="3" s="1"/>
  <c r="AN59" i="9"/>
  <c r="S46" i="3" s="1"/>
  <c r="AX34" i="9"/>
  <c r="X46" i="3" s="1"/>
  <c r="AX28" i="9"/>
  <c r="O46" i="3" s="1"/>
  <c r="AX31" i="9"/>
  <c r="U46" i="3" s="1"/>
  <c r="F28" i="6" s="1"/>
  <c r="AX32" i="9"/>
  <c r="V46" i="3" s="1"/>
  <c r="G28" i="6" s="1"/>
  <c r="AN46" i="9"/>
  <c r="G46" i="3" s="1"/>
  <c r="AX26" i="9"/>
  <c r="J46" i="3" s="1"/>
  <c r="L31" i="5" s="1"/>
  <c r="AQ27" i="9"/>
  <c r="AQ30" i="9"/>
  <c r="D49" i="3" s="1"/>
  <c r="AQ31" i="9"/>
  <c r="E49" i="3" s="1"/>
  <c r="AQ32" i="9"/>
  <c r="H49" i="3" s="1"/>
  <c r="AQ33" i="9"/>
  <c r="I49" i="3" s="1"/>
  <c r="AQ35" i="9"/>
  <c r="L49" i="3" s="1"/>
  <c r="AS27" i="9"/>
  <c r="AS30" i="9"/>
  <c r="D51" i="3" s="1"/>
  <c r="AS31" i="9"/>
  <c r="E51" i="3" s="1"/>
  <c r="AS32" i="9"/>
  <c r="H51" i="3" s="1"/>
  <c r="AS33" i="9"/>
  <c r="I51" i="3" s="1"/>
  <c r="K51" i="3"/>
  <c r="AS35" i="9"/>
  <c r="L51" i="3" s="1"/>
  <c r="AU27" i="9"/>
  <c r="AU30" i="9"/>
  <c r="D53" i="3" s="1"/>
  <c r="AU31" i="9"/>
  <c r="AU32" i="9"/>
  <c r="H53" i="3" s="1"/>
  <c r="AU33" i="9"/>
  <c r="I53" i="3" s="1"/>
  <c r="AU35" i="9"/>
  <c r="L53" i="3" s="1"/>
  <c r="AN30" i="9"/>
  <c r="D46" i="3" s="1"/>
  <c r="H31" i="5" s="1"/>
  <c r="AN32" i="9"/>
  <c r="H46" i="3" s="1"/>
  <c r="I31" i="5" s="1"/>
  <c r="AN27" i="9"/>
  <c r="AN31" i="9"/>
  <c r="E46" i="3" s="1"/>
  <c r="AN33" i="9"/>
  <c r="I46" i="3" s="1"/>
  <c r="J31" i="5" s="1"/>
  <c r="AN35" i="9"/>
  <c r="K46" i="3" s="1"/>
  <c r="AN36" i="9"/>
  <c r="L46" i="3" s="1"/>
  <c r="AR27" i="9"/>
  <c r="AR31" i="9"/>
  <c r="E50" i="3" s="1"/>
  <c r="K50" i="3"/>
  <c r="AR30" i="9"/>
  <c r="D50" i="3" s="1"/>
  <c r="AR32" i="9"/>
  <c r="H50" i="3" s="1"/>
  <c r="AR33" i="9"/>
  <c r="I50" i="3" s="1"/>
  <c r="AR35" i="9"/>
  <c r="L50" i="3" s="1"/>
  <c r="AP33" i="9"/>
  <c r="I48" i="3" s="1"/>
  <c r="AP36" i="9"/>
  <c r="L48" i="3" s="1"/>
  <c r="AP27" i="9"/>
  <c r="AP30" i="9"/>
  <c r="D48" i="3" s="1"/>
  <c r="AP31" i="9"/>
  <c r="AP32" i="9"/>
  <c r="H48" i="3" s="1"/>
  <c r="AP35" i="9"/>
  <c r="K48" i="3" s="1"/>
  <c r="AT30" i="9"/>
  <c r="D52" i="3" s="1"/>
  <c r="AT32" i="9"/>
  <c r="H52" i="3" s="1"/>
  <c r="AT33" i="9"/>
  <c r="I52" i="3" s="1"/>
  <c r="AT35" i="9"/>
  <c r="L52" i="3" s="1"/>
  <c r="AT27" i="9"/>
  <c r="AT31" i="9"/>
  <c r="E52" i="3" s="1"/>
  <c r="K52" i="3"/>
  <c r="AO27" i="9"/>
  <c r="AO30" i="9"/>
  <c r="D47" i="3" s="1"/>
  <c r="AO31" i="9"/>
  <c r="E47" i="3" s="1"/>
  <c r="AO32" i="9"/>
  <c r="H47" i="3" s="1"/>
  <c r="AO33" i="9"/>
  <c r="I47" i="3" s="1"/>
  <c r="AO35" i="9"/>
  <c r="K47" i="3" s="1"/>
  <c r="AO36" i="9"/>
  <c r="L47" i="3" s="1"/>
  <c r="M31" i="5"/>
  <c r="K28" i="6"/>
  <c r="P31" i="5"/>
  <c r="O28" i="6"/>
  <c r="N31" i="5"/>
  <c r="L28" i="6"/>
  <c r="K31" i="5"/>
  <c r="M28" i="6"/>
  <c r="U31" i="5"/>
  <c r="V31" i="5"/>
  <c r="AI31" i="5" s="1"/>
  <c r="AI33" i="5" s="1"/>
  <c r="W46" i="3"/>
  <c r="AZ34" i="9"/>
  <c r="X48" i="3" s="1"/>
  <c r="AP59" i="9"/>
  <c r="S48" i="3" s="1"/>
  <c r="AZ31" i="9"/>
  <c r="U48" i="3" s="1"/>
  <c r="AZ29" i="9"/>
  <c r="P48" i="3" s="1"/>
  <c r="AZ26" i="9"/>
  <c r="J48" i="3" s="1"/>
  <c r="AZ35" i="9"/>
  <c r="Y48" i="3" s="1"/>
  <c r="AZ33" i="9"/>
  <c r="AP57" i="9"/>
  <c r="Q48" i="3" s="1"/>
  <c r="AP46" i="9"/>
  <c r="G48" i="3" s="1"/>
  <c r="AZ30" i="9"/>
  <c r="T48" i="3" s="1"/>
  <c r="AZ27" i="9"/>
  <c r="M48" i="3" s="1"/>
  <c r="AP41" i="9"/>
  <c r="C48" i="3" s="1"/>
  <c r="AZ32" i="9"/>
  <c r="V48" i="3" s="1"/>
  <c r="AZ28" i="9"/>
  <c r="O48" i="3" s="1"/>
  <c r="E48" i="3"/>
  <c r="AP45" i="9"/>
  <c r="F48" i="3" s="1"/>
  <c r="BC35" i="9"/>
  <c r="Y51" i="3" s="1"/>
  <c r="AS57" i="9"/>
  <c r="Q51" i="3" s="1"/>
  <c r="AS45" i="9"/>
  <c r="F51" i="3" s="1"/>
  <c r="BC27" i="9"/>
  <c r="M51" i="3" s="1"/>
  <c r="BC26" i="9"/>
  <c r="J51" i="3" s="1"/>
  <c r="BC29" i="9"/>
  <c r="P51" i="3" s="1"/>
  <c r="BC32" i="9"/>
  <c r="V51" i="3" s="1"/>
  <c r="BC28" i="9"/>
  <c r="O51" i="3" s="1"/>
  <c r="BC30" i="9"/>
  <c r="T51" i="3" s="1"/>
  <c r="BC31" i="9"/>
  <c r="U51" i="3" s="1"/>
  <c r="BC33" i="9"/>
  <c r="BC34" i="9"/>
  <c r="X51" i="3" s="1"/>
  <c r="AS59" i="9"/>
  <c r="S51" i="3" s="1"/>
  <c r="AS41" i="9"/>
  <c r="C51" i="3" s="1"/>
  <c r="AS46" i="9"/>
  <c r="G51" i="3" s="1"/>
  <c r="AQ41" i="9"/>
  <c r="C49" i="3" s="1"/>
  <c r="BA34" i="9"/>
  <c r="X49" i="3" s="1"/>
  <c r="BA35" i="9"/>
  <c r="Y49" i="3" s="1"/>
  <c r="BA33" i="9"/>
  <c r="AQ59" i="9"/>
  <c r="S49" i="3" s="1"/>
  <c r="AQ46" i="9"/>
  <c r="G49" i="3" s="1"/>
  <c r="BA26" i="9"/>
  <c r="J49" i="3" s="1"/>
  <c r="BA29" i="9"/>
  <c r="P49" i="3" s="1"/>
  <c r="BA31" i="9"/>
  <c r="U49" i="3" s="1"/>
  <c r="AQ57" i="9"/>
  <c r="Q49" i="3" s="1"/>
  <c r="AQ45" i="9"/>
  <c r="F49" i="3" s="1"/>
  <c r="BA27" i="9"/>
  <c r="M49" i="3" s="1"/>
  <c r="BA28" i="9"/>
  <c r="O49" i="3" s="1"/>
  <c r="BA32" i="9"/>
  <c r="V49" i="3" s="1"/>
  <c r="BA30" i="9"/>
  <c r="T49" i="3" s="1"/>
  <c r="AR59" i="9"/>
  <c r="S50" i="3" s="1"/>
  <c r="AR46" i="9"/>
  <c r="G50" i="3" s="1"/>
  <c r="BB31" i="9"/>
  <c r="U50" i="3" s="1"/>
  <c r="BB29" i="9"/>
  <c r="P50" i="3" s="1"/>
  <c r="AR57" i="9"/>
  <c r="Q50" i="3" s="1"/>
  <c r="AR45" i="9"/>
  <c r="F50" i="3" s="1"/>
  <c r="BB32" i="9"/>
  <c r="V50" i="3" s="1"/>
  <c r="BB30" i="9"/>
  <c r="T50" i="3" s="1"/>
  <c r="BB28" i="9"/>
  <c r="O50" i="3" s="1"/>
  <c r="BB26" i="9"/>
  <c r="J50" i="3" s="1"/>
  <c r="BB27" i="9"/>
  <c r="M50" i="3" s="1"/>
  <c r="BB35" i="9"/>
  <c r="Y50" i="3" s="1"/>
  <c r="BB34" i="9"/>
  <c r="X50" i="3" s="1"/>
  <c r="AR41" i="9"/>
  <c r="C50" i="3" s="1"/>
  <c r="BB33" i="9"/>
  <c r="AM27" i="9"/>
  <c r="AW34" i="9"/>
  <c r="X45" i="3" s="1"/>
  <c r="AW35" i="9"/>
  <c r="Y45" i="3" s="1"/>
  <c r="AM57" i="9"/>
  <c r="Q45" i="3" s="1"/>
  <c r="AM46" i="9"/>
  <c r="G45" i="3" s="1"/>
  <c r="AM35" i="9"/>
  <c r="K45" i="3" s="1"/>
  <c r="AM33" i="9"/>
  <c r="I45" i="3" s="1"/>
  <c r="AM31" i="9"/>
  <c r="E45" i="3" s="1"/>
  <c r="AW27" i="9"/>
  <c r="M45" i="3" s="1"/>
  <c r="AW33" i="9"/>
  <c r="AW31" i="9"/>
  <c r="U45" i="3" s="1"/>
  <c r="AW28" i="9"/>
  <c r="O45" i="3" s="1"/>
  <c r="AM41" i="9"/>
  <c r="C45" i="3" s="1"/>
  <c r="AW30" i="9"/>
  <c r="T45" i="3" s="1"/>
  <c r="AM59" i="9"/>
  <c r="S45" i="3" s="1"/>
  <c r="AM36" i="9"/>
  <c r="L45" i="3" s="1"/>
  <c r="AM32" i="9"/>
  <c r="H45" i="3" s="1"/>
  <c r="AW29" i="9"/>
  <c r="P45" i="3" s="1"/>
  <c r="AM45" i="9"/>
  <c r="F45" i="3" s="1"/>
  <c r="AW26" i="9"/>
  <c r="J45" i="3" s="1"/>
  <c r="AM30" i="9"/>
  <c r="D45" i="3" s="1"/>
  <c r="AW32" i="9"/>
  <c r="V45" i="3" s="1"/>
  <c r="AY34" i="9"/>
  <c r="X47" i="3" s="1"/>
  <c r="AY35" i="9"/>
  <c r="Y47" i="3" s="1"/>
  <c r="AO57" i="9"/>
  <c r="Q47" i="3" s="1"/>
  <c r="AO45" i="9"/>
  <c r="F47" i="3" s="1"/>
  <c r="AO41" i="9"/>
  <c r="C47" i="3" s="1"/>
  <c r="AO46" i="9"/>
  <c r="G47" i="3" s="1"/>
  <c r="AY26" i="9"/>
  <c r="J47" i="3" s="1"/>
  <c r="AY32" i="9"/>
  <c r="V47" i="3" s="1"/>
  <c r="AY27" i="9"/>
  <c r="M47" i="3" s="1"/>
  <c r="AY31" i="9"/>
  <c r="U47" i="3" s="1"/>
  <c r="AY29" i="9"/>
  <c r="P47" i="3" s="1"/>
  <c r="AY33" i="9"/>
  <c r="AO59" i="9"/>
  <c r="S47" i="3" s="1"/>
  <c r="AY28" i="9"/>
  <c r="O47" i="3" s="1"/>
  <c r="AY30" i="9"/>
  <c r="T47" i="3" s="1"/>
  <c r="AT41" i="9"/>
  <c r="C52" i="3" s="1"/>
  <c r="AT57" i="9"/>
  <c r="Q52" i="3" s="1"/>
  <c r="AT45" i="9"/>
  <c r="F52" i="3" s="1"/>
  <c r="BD32" i="9"/>
  <c r="V52" i="3" s="1"/>
  <c r="BD30" i="9"/>
  <c r="T52" i="3" s="1"/>
  <c r="BD28" i="9"/>
  <c r="O52" i="3" s="1"/>
  <c r="BD27" i="9"/>
  <c r="M52" i="3" s="1"/>
  <c r="AT59" i="9"/>
  <c r="S52" i="3" s="1"/>
  <c r="AT46" i="9"/>
  <c r="G52" i="3" s="1"/>
  <c r="BD31" i="9"/>
  <c r="U52" i="3" s="1"/>
  <c r="BD29" i="9"/>
  <c r="P52" i="3" s="1"/>
  <c r="BD26" i="9"/>
  <c r="J52" i="3" s="1"/>
  <c r="BD34" i="9"/>
  <c r="X52" i="3" s="1"/>
  <c r="BD35" i="9"/>
  <c r="Y52" i="3" s="1"/>
  <c r="BD33" i="9"/>
  <c r="BE34" i="9"/>
  <c r="X53" i="3" s="1"/>
  <c r="BE35" i="9"/>
  <c r="Y53" i="3" s="1"/>
  <c r="AU59" i="9"/>
  <c r="S53" i="3" s="1"/>
  <c r="AU46" i="9"/>
  <c r="G53" i="3" s="1"/>
  <c r="BE26" i="9"/>
  <c r="J53" i="3" s="1"/>
  <c r="AU57" i="9"/>
  <c r="Q53" i="3" s="1"/>
  <c r="AU45" i="9"/>
  <c r="F53" i="3" s="1"/>
  <c r="E53" i="3"/>
  <c r="BE27" i="9"/>
  <c r="M53" i="3" s="1"/>
  <c r="BE31" i="9"/>
  <c r="U53" i="3" s="1"/>
  <c r="BE29" i="9"/>
  <c r="P53" i="3" s="1"/>
  <c r="BE28" i="9"/>
  <c r="O53" i="3" s="1"/>
  <c r="BE30" i="9"/>
  <c r="T53" i="3" s="1"/>
  <c r="BE32" i="9"/>
  <c r="V53" i="3" s="1"/>
  <c r="AU41" i="9"/>
  <c r="C53" i="3" s="1"/>
  <c r="BE33" i="9"/>
  <c r="W45" i="3" l="1"/>
  <c r="AI40" i="5"/>
  <c r="F31" i="5"/>
  <c r="H28" i="6"/>
  <c r="AJ31" i="5"/>
  <c r="AJ33" i="5" s="1"/>
  <c r="AJ40" i="5" s="1"/>
  <c r="P28" i="6"/>
  <c r="U33" i="5"/>
  <c r="AD31" i="5"/>
  <c r="AD33" i="5" s="1"/>
  <c r="AD40" i="5" s="1"/>
  <c r="AA31" i="5"/>
  <c r="AA33" i="5" s="1"/>
  <c r="AA40" i="5" s="1"/>
  <c r="AE31" i="5"/>
  <c r="AE33" i="5" s="1"/>
  <c r="W31" i="5"/>
  <c r="W33" i="5" s="1"/>
  <c r="X31" i="5"/>
  <c r="X33" i="5" s="1"/>
  <c r="Q28" i="6"/>
  <c r="AG31" i="5"/>
  <c r="AG33" i="5" s="1"/>
  <c r="AF31" i="5"/>
  <c r="AF33" i="5" s="1"/>
  <c r="Z31" i="5"/>
  <c r="Z33" i="5" s="1"/>
  <c r="Z40" i="5" s="1"/>
  <c r="Y31" i="5"/>
  <c r="Y33" i="5" s="1"/>
  <c r="Y40" i="5" s="1"/>
  <c r="V33" i="5"/>
  <c r="V34" i="5" s="1"/>
  <c r="AH31" i="5"/>
  <c r="AH33" i="5" s="1"/>
  <c r="AC31" i="5"/>
  <c r="AC33" i="5" s="1"/>
  <c r="AB31" i="5"/>
  <c r="AB33" i="5" s="1"/>
  <c r="I28" i="6"/>
  <c r="W47" i="3"/>
  <c r="W51" i="3"/>
  <c r="W53" i="3"/>
  <c r="W52" i="3"/>
  <c r="W50" i="3"/>
  <c r="W49" i="3"/>
  <c r="J28" i="6"/>
  <c r="W48" i="3"/>
  <c r="AJ48" i="5" l="1"/>
  <c r="AB34" i="5"/>
  <c r="AB40" i="5"/>
  <c r="AB35" i="5"/>
  <c r="Y41" i="5"/>
  <c r="AF34" i="5"/>
  <c r="AF35" i="5" s="1"/>
  <c r="AF40" i="5"/>
  <c r="AC28" i="6"/>
  <c r="AA28" i="6"/>
  <c r="AA30" i="6" s="1"/>
  <c r="U28" i="6"/>
  <c r="U30" i="6" s="1"/>
  <c r="V28" i="6"/>
  <c r="V30" i="6" s="1"/>
  <c r="V37" i="6" s="1"/>
  <c r="Z28" i="6"/>
  <c r="Z30" i="6" s="1"/>
  <c r="Z37" i="6" s="1"/>
  <c r="X28" i="6"/>
  <c r="X30" i="6" s="1"/>
  <c r="X37" i="6" s="1"/>
  <c r="R28" i="6"/>
  <c r="R30" i="6" s="1"/>
  <c r="W28" i="6"/>
  <c r="W30" i="6" s="1"/>
  <c r="W37" i="6" s="1"/>
  <c r="T28" i="6"/>
  <c r="T30" i="6" s="1"/>
  <c r="S28" i="6"/>
  <c r="S30" i="6" s="1"/>
  <c r="W34" i="5"/>
  <c r="J18" i="7" s="1"/>
  <c r="Z35" i="5"/>
  <c r="W35" i="5"/>
  <c r="W40" i="5"/>
  <c r="Y28" i="6"/>
  <c r="Y30" i="6" s="1"/>
  <c r="Y37" i="6" s="1"/>
  <c r="AC35" i="5"/>
  <c r="AC40" i="5"/>
  <c r="V40" i="5"/>
  <c r="AI42" i="5" s="1"/>
  <c r="X34" i="5"/>
  <c r="Q30" i="6"/>
  <c r="AD34" i="5"/>
  <c r="AA34" i="5"/>
  <c r="Z34" i="5"/>
  <c r="L18" i="7" s="1"/>
  <c r="Y34" i="5"/>
  <c r="AF3" i="7" s="1"/>
  <c r="AC34" i="5"/>
  <c r="AG34" i="5"/>
  <c r="AG35" i="5" s="1"/>
  <c r="AG40" i="5"/>
  <c r="X35" i="5"/>
  <c r="X40" i="5"/>
  <c r="AE34" i="5"/>
  <c r="AE35" i="5" s="1"/>
  <c r="AE40" i="5"/>
  <c r="AB28" i="6"/>
  <c r="AB30" i="6" s="1"/>
  <c r="AH34" i="5"/>
  <c r="AH35" i="5" s="1"/>
  <c r="AH40" i="5"/>
  <c r="P30" i="6"/>
  <c r="AA35" i="5"/>
  <c r="U40" i="5"/>
  <c r="F21" i="7" l="1"/>
  <c r="F22" i="7"/>
  <c r="F23" i="7"/>
  <c r="F24" i="7"/>
  <c r="F25" i="7"/>
  <c r="F26" i="7"/>
  <c r="F27" i="7"/>
  <c r="F28" i="7"/>
  <c r="F29" i="7"/>
  <c r="F30" i="7"/>
  <c r="F31" i="7"/>
  <c r="F32" i="7"/>
  <c r="F33" i="7"/>
  <c r="F34" i="7"/>
  <c r="F35" i="7"/>
  <c r="F36" i="7"/>
  <c r="F37" i="7"/>
  <c r="F38" i="7"/>
  <c r="F39" i="7"/>
  <c r="F40" i="7"/>
  <c r="F41" i="7"/>
  <c r="F42" i="7"/>
  <c r="F43" i="7"/>
  <c r="F44" i="7"/>
  <c r="E44" i="7" s="1"/>
  <c r="F45" i="7"/>
  <c r="F46" i="7"/>
  <c r="F47" i="7"/>
  <c r="F48" i="7"/>
  <c r="F49" i="7"/>
  <c r="AG42" i="5"/>
  <c r="AG41" i="5" s="1"/>
  <c r="AH11" i="5"/>
  <c r="AH39" i="5" s="1"/>
  <c r="AC11" i="5"/>
  <c r="AC39" i="5" s="1"/>
  <c r="P37" i="6"/>
  <c r="AG11" i="5"/>
  <c r="AG39" i="5" s="1"/>
  <c r="V31" i="6"/>
  <c r="W31" i="6"/>
  <c r="Z32" i="6"/>
  <c r="W41" i="5"/>
  <c r="W43" i="5"/>
  <c r="AJ47" i="5" s="1"/>
  <c r="AC43" i="5"/>
  <c r="S31" i="6"/>
  <c r="X32" i="6"/>
  <c r="S37" i="6"/>
  <c r="AA37" i="6"/>
  <c r="AA32" i="6"/>
  <c r="AF42" i="5"/>
  <c r="AF41" i="5" s="1"/>
  <c r="AB32" i="6"/>
  <c r="AB37" i="6"/>
  <c r="AB43" i="5"/>
  <c r="T31" i="6"/>
  <c r="Y32" i="6"/>
  <c r="T37" i="6"/>
  <c r="R31" i="6"/>
  <c r="R37" i="6"/>
  <c r="U31" i="6"/>
  <c r="U37" i="6"/>
  <c r="AB42" i="5"/>
  <c r="AB41" i="5" s="1"/>
  <c r="AE43" i="5"/>
  <c r="X41" i="5"/>
  <c r="AG43" i="5"/>
  <c r="X43" i="5"/>
  <c r="AC14" i="5"/>
  <c r="AF11" i="5"/>
  <c r="AF39" i="5" s="1"/>
  <c r="AB11" i="5"/>
  <c r="AB39" i="5" s="1"/>
  <c r="AE11" i="5"/>
  <c r="AE39" i="5" s="1"/>
  <c r="V42" i="5"/>
  <c r="AD42" i="5"/>
  <c r="AD41" i="5" s="1"/>
  <c r="S42" i="5"/>
  <c r="S39" i="5"/>
  <c r="X42" i="5"/>
  <c r="AA42" i="5"/>
  <c r="Z42" i="5"/>
  <c r="Z41" i="5" s="1"/>
  <c r="S43" i="5"/>
  <c r="AD11" i="5"/>
  <c r="AD39" i="5" s="1"/>
  <c r="Z11" i="5"/>
  <c r="Z39" i="5" s="1"/>
  <c r="S41" i="5"/>
  <c r="Q37" i="6"/>
  <c r="AE42" i="5"/>
  <c r="AE41" i="5" s="1"/>
  <c r="W42" i="5"/>
  <c r="AC42" i="5"/>
  <c r="AC41" i="5" s="1"/>
  <c r="Y42" i="5"/>
  <c r="AH42" i="5"/>
  <c r="AH41" i="5" s="1"/>
  <c r="AH43" i="5"/>
  <c r="E49" i="7" l="1"/>
  <c r="L49" i="7" s="1"/>
  <c r="E45" i="7"/>
  <c r="L45" i="7" s="1"/>
  <c r="E41" i="7"/>
  <c r="L41" i="7" s="1"/>
  <c r="E37" i="7"/>
  <c r="L37" i="7" s="1"/>
  <c r="E48" i="7"/>
  <c r="L48" i="7" s="1"/>
  <c r="E46" i="7"/>
  <c r="L46" i="7" s="1"/>
  <c r="G44" i="7"/>
  <c r="L44" i="7"/>
  <c r="E42" i="7"/>
  <c r="L42" i="7" s="1"/>
  <c r="E40" i="7"/>
  <c r="L40" i="7" s="1"/>
  <c r="E38" i="7"/>
  <c r="L38" i="7" s="1"/>
  <c r="E36" i="7"/>
  <c r="L36" i="7" s="1"/>
  <c r="E34" i="7"/>
  <c r="L34" i="7" s="1"/>
  <c r="E32" i="7"/>
  <c r="L32" i="7" s="1"/>
  <c r="E30" i="7"/>
  <c r="L30" i="7" s="1"/>
  <c r="E28" i="7"/>
  <c r="L28" i="7" s="1"/>
  <c r="E26" i="7"/>
  <c r="L26" i="7" s="1"/>
  <c r="E24" i="7"/>
  <c r="L24" i="7" s="1"/>
  <c r="E22" i="7"/>
  <c r="L22" i="7" s="1"/>
  <c r="E47" i="7"/>
  <c r="L47" i="7" s="1"/>
  <c r="E43" i="7"/>
  <c r="L43" i="7" s="1"/>
  <c r="E39" i="7"/>
  <c r="L39" i="7" s="1"/>
  <c r="E35" i="7"/>
  <c r="L35" i="7" s="1"/>
  <c r="E33" i="7"/>
  <c r="L33" i="7" s="1"/>
  <c r="E31" i="7"/>
  <c r="L31" i="7" s="1"/>
  <c r="E29" i="7"/>
  <c r="L29" i="7" s="1"/>
  <c r="E27" i="7"/>
  <c r="L27" i="7" s="1"/>
  <c r="E25" i="7"/>
  <c r="L25" i="7" s="1"/>
  <c r="E23" i="7"/>
  <c r="L23" i="7" s="1"/>
  <c r="E21" i="7"/>
  <c r="L21" i="7" s="1"/>
  <c r="V15" i="5"/>
  <c r="X11" i="6"/>
  <c r="Y38" i="6"/>
  <c r="Q7" i="6"/>
  <c r="AA11" i="6"/>
  <c r="Y11" i="6"/>
  <c r="V38" i="6"/>
  <c r="AA38" i="6"/>
  <c r="X38" i="6"/>
  <c r="Z38" i="6"/>
  <c r="Z39" i="6" s="1"/>
  <c r="AB11" i="6"/>
  <c r="R38" i="6"/>
  <c r="W47" i="5" s="1"/>
  <c r="S38" i="6"/>
  <c r="W38" i="6"/>
  <c r="AB47" i="5" s="1"/>
  <c r="AB48" i="5" s="1"/>
  <c r="AB38" i="6"/>
  <c r="AA41" i="5"/>
  <c r="Z43" i="5"/>
  <c r="U38" i="6"/>
  <c r="Z47" i="5" s="1"/>
  <c r="T38" i="6"/>
  <c r="Y47" i="5" s="1"/>
  <c r="Y39" i="6"/>
  <c r="Y40" i="6" s="1"/>
  <c r="AB39" i="6"/>
  <c r="AA39" i="6"/>
  <c r="X39" i="6"/>
  <c r="AE44" i="7" l="1"/>
  <c r="G46" i="7"/>
  <c r="AE46" i="7" s="1"/>
  <c r="G48" i="7"/>
  <c r="AE48" i="7" s="1"/>
  <c r="G37" i="7"/>
  <c r="AE37" i="7" s="1"/>
  <c r="G41" i="7"/>
  <c r="AE41" i="7" s="1"/>
  <c r="G45" i="7"/>
  <c r="AE45" i="7" s="1"/>
  <c r="G49" i="7"/>
  <c r="AE49" i="7" s="1"/>
  <c r="G21" i="7"/>
  <c r="AE21" i="7" s="1"/>
  <c r="G23" i="7"/>
  <c r="AE23" i="7" s="1"/>
  <c r="G25" i="7"/>
  <c r="AE25" i="7" s="1"/>
  <c r="G27" i="7"/>
  <c r="AE27" i="7" s="1"/>
  <c r="G29" i="7"/>
  <c r="AE29" i="7" s="1"/>
  <c r="G31" i="7"/>
  <c r="AE31" i="7" s="1"/>
  <c r="G33" i="7"/>
  <c r="AE33" i="7" s="1"/>
  <c r="G35" i="7"/>
  <c r="AE35" i="7" s="1"/>
  <c r="G39" i="7"/>
  <c r="AE39" i="7" s="1"/>
  <c r="G43" i="7"/>
  <c r="AE43" i="7" s="1"/>
  <c r="G47" i="7"/>
  <c r="AE47" i="7" s="1"/>
  <c r="G22" i="7"/>
  <c r="AE22" i="7" s="1"/>
  <c r="G24" i="7"/>
  <c r="AE24" i="7" s="1"/>
  <c r="G26" i="7"/>
  <c r="AE26" i="7" s="1"/>
  <c r="G28" i="7"/>
  <c r="AE28" i="7" s="1"/>
  <c r="G30" i="7"/>
  <c r="AE30" i="7" s="1"/>
  <c r="G32" i="7"/>
  <c r="AE32" i="7" s="1"/>
  <c r="G34" i="7"/>
  <c r="AE34" i="7" s="1"/>
  <c r="G36" i="7"/>
  <c r="AE36" i="7" s="1"/>
  <c r="G38" i="7"/>
  <c r="AE38" i="7" s="1"/>
  <c r="G40" i="7"/>
  <c r="AE40" i="7" s="1"/>
  <c r="G42" i="7"/>
  <c r="AE42" i="7" s="1"/>
  <c r="V43" i="5"/>
  <c r="V41" i="5"/>
  <c r="AC47" i="5"/>
  <c r="AC48" i="5" s="1"/>
  <c r="X47" i="5"/>
  <c r="AA47" i="5"/>
  <c r="AD47" i="5"/>
  <c r="AD48" i="5" s="1"/>
  <c r="V8" i="6"/>
  <c r="T8" i="6"/>
  <c r="W8" i="6"/>
  <c r="W11" i="6" s="1"/>
  <c r="R8" i="6"/>
  <c r="S8" i="6"/>
  <c r="U8" i="6"/>
  <c r="S46" i="7" l="1"/>
  <c r="AC46" i="7"/>
  <c r="AD46" i="7" s="1"/>
  <c r="S39" i="7"/>
  <c r="AC39" i="7"/>
  <c r="AD39" i="7" s="1"/>
  <c r="S45" i="7"/>
  <c r="AC45" i="7"/>
  <c r="AD45" i="7" s="1"/>
  <c r="S44" i="7"/>
  <c r="AC44" i="7"/>
  <c r="AD44" i="7" s="1"/>
  <c r="S43" i="7"/>
  <c r="AC43" i="7"/>
  <c r="AD43" i="7" s="1"/>
  <c r="S42" i="7"/>
  <c r="AC42" i="7"/>
  <c r="AD42" i="7" s="1"/>
  <c r="S49" i="7"/>
  <c r="AC49" i="7"/>
  <c r="AD49" i="7" s="1"/>
  <c r="S41" i="7"/>
  <c r="AC41" i="7"/>
  <c r="AD41" i="7" s="1"/>
  <c r="S48" i="7"/>
  <c r="AC48" i="7"/>
  <c r="AD48" i="7" s="1"/>
  <c r="S40" i="7"/>
  <c r="AC40" i="7"/>
  <c r="AD40" i="7" s="1"/>
  <c r="S47" i="7"/>
  <c r="AC47" i="7"/>
  <c r="AD47" i="7" s="1"/>
  <c r="S38" i="7"/>
  <c r="AC38" i="7"/>
  <c r="AD38" i="7" s="1"/>
  <c r="U11" i="6"/>
  <c r="U24" i="6"/>
  <c r="U32" i="6"/>
  <c r="U39" i="6"/>
  <c r="R11" i="6"/>
  <c r="R24" i="6"/>
  <c r="R32" i="6"/>
  <c r="R39" i="6"/>
  <c r="T11" i="6"/>
  <c r="T24" i="6"/>
  <c r="T32" i="6"/>
  <c r="T39" i="6"/>
  <c r="W39" i="7"/>
  <c r="Z39" i="7"/>
  <c r="Y39" i="7"/>
  <c r="X39" i="7"/>
  <c r="AB39" i="7"/>
  <c r="AA39" i="7"/>
  <c r="O39" i="7"/>
  <c r="R39" i="7"/>
  <c r="T39" i="7"/>
  <c r="Q39" i="7"/>
  <c r="U39" i="7"/>
  <c r="P39" i="7"/>
  <c r="I39" i="7"/>
  <c r="N39" i="7" s="1"/>
  <c r="AF39" i="7" s="1"/>
  <c r="X46" i="7"/>
  <c r="AB46" i="7"/>
  <c r="Y46" i="7"/>
  <c r="Z46" i="7"/>
  <c r="W46" i="7"/>
  <c r="AA46" i="7"/>
  <c r="P46" i="7"/>
  <c r="O46" i="7"/>
  <c r="T46" i="7"/>
  <c r="Q46" i="7"/>
  <c r="U46" i="7"/>
  <c r="R46" i="7"/>
  <c r="I46" i="7"/>
  <c r="N46" i="7" s="1"/>
  <c r="AF46" i="7" s="1"/>
  <c r="W38" i="7"/>
  <c r="AA38" i="7"/>
  <c r="X38" i="7"/>
  <c r="Z38" i="7"/>
  <c r="R38" i="7"/>
  <c r="Q38" i="7"/>
  <c r="O38" i="7"/>
  <c r="Y38" i="7"/>
  <c r="AB38" i="7"/>
  <c r="P38" i="7"/>
  <c r="T38" i="7"/>
  <c r="U38" i="7"/>
  <c r="I38" i="7"/>
  <c r="N38" i="7" s="1"/>
  <c r="AF38" i="7" s="1"/>
  <c r="S11" i="6"/>
  <c r="S24" i="6"/>
  <c r="S32" i="6"/>
  <c r="S39" i="6"/>
  <c r="AB46" i="5"/>
  <c r="W40" i="6"/>
  <c r="V11" i="6"/>
  <c r="V39" i="6"/>
  <c r="X45" i="7"/>
  <c r="AB45" i="7"/>
  <c r="Y45" i="7"/>
  <c r="Z45" i="7"/>
  <c r="W45" i="7"/>
  <c r="AA45" i="7"/>
  <c r="O45" i="7"/>
  <c r="P45" i="7"/>
  <c r="R45" i="7"/>
  <c r="Q45" i="7"/>
  <c r="U45" i="7"/>
  <c r="T45" i="7"/>
  <c r="I45" i="7"/>
  <c r="N45" i="7" s="1"/>
  <c r="AF45" i="7" s="1"/>
  <c r="Z44" i="7"/>
  <c r="W44" i="7"/>
  <c r="AA44" i="7"/>
  <c r="X44" i="7"/>
  <c r="AB44" i="7"/>
  <c r="Y44" i="7"/>
  <c r="R44" i="7"/>
  <c r="O44" i="7"/>
  <c r="Q44" i="7"/>
  <c r="P44" i="7"/>
  <c r="T44" i="7"/>
  <c r="U44" i="7"/>
  <c r="I44" i="7"/>
  <c r="N44" i="7" s="1"/>
  <c r="AF44" i="7" s="1"/>
  <c r="Z43" i="7"/>
  <c r="W43" i="7"/>
  <c r="AA43" i="7"/>
  <c r="AB43" i="7"/>
  <c r="O43" i="7"/>
  <c r="R43" i="7"/>
  <c r="T43" i="7"/>
  <c r="X43" i="7"/>
  <c r="Y43" i="7"/>
  <c r="Q43" i="7"/>
  <c r="U43" i="7"/>
  <c r="P43" i="7"/>
  <c r="I43" i="7"/>
  <c r="N43" i="7" s="1"/>
  <c r="AF43" i="7" s="1"/>
  <c r="X42" i="7"/>
  <c r="AB42" i="7"/>
  <c r="Y42" i="7"/>
  <c r="Z42" i="7"/>
  <c r="W42" i="7"/>
  <c r="AA42" i="7"/>
  <c r="P42" i="7"/>
  <c r="T42" i="7"/>
  <c r="U42" i="7"/>
  <c r="R42" i="7"/>
  <c r="Q42" i="7"/>
  <c r="O42" i="7"/>
  <c r="I42" i="7"/>
  <c r="N42" i="7" s="1"/>
  <c r="AF42" i="7" s="1"/>
  <c r="X49" i="7"/>
  <c r="AB49" i="7"/>
  <c r="Y49" i="7"/>
  <c r="Z49" i="7"/>
  <c r="W49" i="7"/>
  <c r="AA49" i="7"/>
  <c r="P49" i="7"/>
  <c r="T49" i="7"/>
  <c r="Q49" i="7"/>
  <c r="U49" i="7"/>
  <c r="R49" i="7"/>
  <c r="O49" i="7"/>
  <c r="I49" i="7"/>
  <c r="N49" i="7" s="1"/>
  <c r="AF49" i="7" s="1"/>
  <c r="Z41" i="7"/>
  <c r="W41" i="7"/>
  <c r="AA41" i="7"/>
  <c r="O41" i="7"/>
  <c r="P41" i="7"/>
  <c r="R41" i="7"/>
  <c r="X41" i="7"/>
  <c r="AB41" i="7"/>
  <c r="Y41" i="7"/>
  <c r="Q41" i="7"/>
  <c r="U41" i="7"/>
  <c r="T41" i="7"/>
  <c r="I41" i="7"/>
  <c r="N41" i="7" s="1"/>
  <c r="AF41" i="7" s="1"/>
  <c r="Z48" i="7"/>
  <c r="W48" i="7"/>
  <c r="AA48" i="7"/>
  <c r="X48" i="7"/>
  <c r="AB48" i="7"/>
  <c r="Y48" i="7"/>
  <c r="Q48" i="7"/>
  <c r="U48" i="7"/>
  <c r="R48" i="7"/>
  <c r="O48" i="7"/>
  <c r="P48" i="7"/>
  <c r="T48" i="7"/>
  <c r="I48" i="7"/>
  <c r="N48" i="7" s="1"/>
  <c r="AF48" i="7" s="1"/>
  <c r="X40" i="7"/>
  <c r="AB40" i="7"/>
  <c r="Y40" i="7"/>
  <c r="Z40" i="7"/>
  <c r="W40" i="7"/>
  <c r="AA40" i="7"/>
  <c r="P40" i="7"/>
  <c r="T40" i="7"/>
  <c r="U40" i="7"/>
  <c r="R40" i="7"/>
  <c r="O40" i="7"/>
  <c r="Q40" i="7"/>
  <c r="I40" i="7"/>
  <c r="N40" i="7" s="1"/>
  <c r="AF40" i="7" s="1"/>
  <c r="Z47" i="7"/>
  <c r="W47" i="7"/>
  <c r="AA47" i="7"/>
  <c r="X47" i="7"/>
  <c r="AB47" i="7"/>
  <c r="Y47" i="7"/>
  <c r="R47" i="7"/>
  <c r="O47" i="7"/>
  <c r="P47" i="7"/>
  <c r="T47" i="7"/>
  <c r="Q47" i="7"/>
  <c r="U47" i="7"/>
  <c r="I47" i="7"/>
  <c r="N47" i="7" s="1"/>
  <c r="AF47" i="7" s="1"/>
  <c r="K45" i="7" l="1"/>
  <c r="M45" i="7"/>
  <c r="K47" i="7"/>
  <c r="M47" i="7"/>
  <c r="K40" i="7"/>
  <c r="M40" i="7"/>
  <c r="K48" i="7"/>
  <c r="M48" i="7"/>
  <c r="K41" i="7"/>
  <c r="M41" i="7"/>
  <c r="K49" i="7"/>
  <c r="M49" i="7"/>
  <c r="K42" i="7"/>
  <c r="M42" i="7"/>
  <c r="K43" i="7"/>
  <c r="M43" i="7"/>
  <c r="K44" i="7"/>
  <c r="M44" i="7"/>
  <c r="K38" i="7"/>
  <c r="M38" i="7"/>
  <c r="K46" i="7"/>
  <c r="M46" i="7"/>
  <c r="K39" i="7"/>
  <c r="M39" i="7"/>
  <c r="H47" i="7"/>
  <c r="H40" i="7"/>
  <c r="H48" i="7"/>
  <c r="H41" i="7"/>
  <c r="H49" i="7"/>
  <c r="H42" i="7"/>
  <c r="H43" i="7"/>
  <c r="H44" i="7"/>
  <c r="H45" i="7"/>
  <c r="H38" i="7"/>
  <c r="H46" i="7"/>
  <c r="H39" i="7"/>
  <c r="AA46" i="5"/>
  <c r="AA48" i="5" s="1"/>
  <c r="V40" i="6"/>
  <c r="X46" i="5"/>
  <c r="X48" i="5" s="1"/>
  <c r="S40" i="6"/>
  <c r="Y46" i="5"/>
  <c r="Y48" i="5" s="1"/>
  <c r="T40" i="6"/>
  <c r="W46" i="5"/>
  <c r="W48" i="5" s="1"/>
  <c r="R40" i="6"/>
  <c r="Z46" i="5"/>
  <c r="Z48" i="5" s="1"/>
  <c r="U40" i="6"/>
  <c r="AC23" i="7"/>
  <c r="AD23" i="7" s="1"/>
  <c r="AC35" i="7"/>
  <c r="AD35" i="7" s="1"/>
  <c r="AC22" i="7"/>
  <c r="AD22" i="7" s="1"/>
  <c r="AC34" i="7"/>
  <c r="AD34" i="7" s="1"/>
  <c r="I26" i="7"/>
  <c r="N26" i="7" s="1"/>
  <c r="AF26" i="7" s="1"/>
  <c r="U28" i="7" l="1"/>
  <c r="AC28" i="7"/>
  <c r="AD28" i="7" s="1"/>
  <c r="U27" i="7"/>
  <c r="AC27" i="7"/>
  <c r="AD27" i="7" s="1"/>
  <c r="Y21" i="7"/>
  <c r="AC21" i="7"/>
  <c r="AD21" i="7" s="1"/>
  <c r="T24" i="7"/>
  <c r="AC24" i="7"/>
  <c r="AD24" i="7" s="1"/>
  <c r="W33" i="7"/>
  <c r="AC33" i="7"/>
  <c r="AD33" i="7" s="1"/>
  <c r="Y30" i="7"/>
  <c r="AC30" i="7"/>
  <c r="AD30" i="7" s="1"/>
  <c r="AB25" i="7"/>
  <c r="AC25" i="7"/>
  <c r="AD25" i="7" s="1"/>
  <c r="Q32" i="7"/>
  <c r="AC32" i="7"/>
  <c r="AD32" i="7" s="1"/>
  <c r="S26" i="7"/>
  <c r="AC26" i="7"/>
  <c r="AD26" i="7" s="1"/>
  <c r="X31" i="7"/>
  <c r="AC31" i="7"/>
  <c r="AD31" i="7" s="1"/>
  <c r="Y29" i="7"/>
  <c r="AC29" i="7"/>
  <c r="AD29" i="7" s="1"/>
  <c r="Q37" i="7"/>
  <c r="AC37" i="7"/>
  <c r="AD37" i="7" s="1"/>
  <c r="Y36" i="7"/>
  <c r="AC36" i="7"/>
  <c r="AD36" i="7" s="1"/>
  <c r="R26" i="7"/>
  <c r="K26" i="7" s="1"/>
  <c r="R32" i="7"/>
  <c r="M32" i="7" s="1"/>
  <c r="I33" i="7"/>
  <c r="N33" i="7" s="1"/>
  <c r="AF33" i="7" s="1"/>
  <c r="S29" i="7"/>
  <c r="X29" i="7"/>
  <c r="Q29" i="7"/>
  <c r="P27" i="7"/>
  <c r="P25" i="7"/>
  <c r="Z25" i="7"/>
  <c r="O26" i="7"/>
  <c r="I29" i="7"/>
  <c r="N29" i="7" s="1"/>
  <c r="AF29" i="7" s="1"/>
  <c r="R25" i="7"/>
  <c r="M25" i="7" s="1"/>
  <c r="I27" i="7"/>
  <c r="N27" i="7" s="1"/>
  <c r="R29" i="7"/>
  <c r="K29" i="7" s="1"/>
  <c r="W29" i="7"/>
  <c r="AB29" i="7"/>
  <c r="W27" i="7"/>
  <c r="W26" i="7"/>
  <c r="I32" i="7"/>
  <c r="N32" i="7" s="1"/>
  <c r="AF32" i="7" s="1"/>
  <c r="W36" i="7"/>
  <c r="X32" i="7"/>
  <c r="S32" i="7"/>
  <c r="X33" i="7"/>
  <c r="R37" i="7"/>
  <c r="M37" i="7" s="1"/>
  <c r="S36" i="7"/>
  <c r="AA33" i="7"/>
  <c r="H26" i="7"/>
  <c r="U34" i="7"/>
  <c r="X34" i="7"/>
  <c r="AB34" i="7"/>
  <c r="W34" i="7"/>
  <c r="T34" i="7"/>
  <c r="Z34" i="7"/>
  <c r="R28" i="7"/>
  <c r="U22" i="7"/>
  <c r="AA22" i="7"/>
  <c r="S22" i="7"/>
  <c r="Y22" i="7"/>
  <c r="Z22" i="7"/>
  <c r="O22" i="7"/>
  <c r="AA35" i="7"/>
  <c r="U35" i="7"/>
  <c r="S35" i="7"/>
  <c r="T35" i="7"/>
  <c r="P35" i="7"/>
  <c r="Q35" i="7"/>
  <c r="AB23" i="7"/>
  <c r="Q23" i="7"/>
  <c r="AA23" i="7"/>
  <c r="U23" i="7"/>
  <c r="S23" i="7"/>
  <c r="Z23" i="7"/>
  <c r="R23" i="7"/>
  <c r="I22" i="7"/>
  <c r="N22" i="7" s="1"/>
  <c r="AF22" i="7" s="1"/>
  <c r="I21" i="7"/>
  <c r="N21" i="7" s="1"/>
  <c r="AF21" i="7" s="1"/>
  <c r="R34" i="7"/>
  <c r="X21" i="7"/>
  <c r="U21" i="7"/>
  <c r="Z21" i="7"/>
  <c r="AB31" i="7"/>
  <c r="Y31" i="7"/>
  <c r="U31" i="7"/>
  <c r="O31" i="7"/>
  <c r="P23" i="7"/>
  <c r="X23" i="7"/>
  <c r="T23" i="7"/>
  <c r="AB30" i="7"/>
  <c r="Z30" i="7"/>
  <c r="X28" i="7"/>
  <c r="AA28" i="7"/>
  <c r="Y24" i="7"/>
  <c r="AA24" i="7"/>
  <c r="P22" i="7"/>
  <c r="AB22" i="7"/>
  <c r="Q22" i="7"/>
  <c r="Y35" i="7"/>
  <c r="Z35" i="7"/>
  <c r="X35" i="7"/>
  <c r="AA37" i="7"/>
  <c r="Y37" i="7"/>
  <c r="P30" i="7"/>
  <c r="O30" i="7"/>
  <c r="Q30" i="7"/>
  <c r="U30" i="7"/>
  <c r="AA30" i="7"/>
  <c r="X30" i="7"/>
  <c r="AB28" i="7"/>
  <c r="S28" i="7"/>
  <c r="P28" i="7"/>
  <c r="T28" i="7"/>
  <c r="Z28" i="7"/>
  <c r="O28" i="7"/>
  <c r="O24" i="7"/>
  <c r="S24" i="7"/>
  <c r="Z24" i="7"/>
  <c r="P24" i="7"/>
  <c r="U24" i="7"/>
  <c r="W24" i="7"/>
  <c r="R30" i="7"/>
  <c r="R21" i="7"/>
  <c r="I31" i="7"/>
  <c r="N31" i="7" s="1"/>
  <c r="AF31" i="7" s="1"/>
  <c r="Q21" i="7"/>
  <c r="S21" i="7"/>
  <c r="T21" i="7"/>
  <c r="W31" i="7"/>
  <c r="S31" i="7"/>
  <c r="O34" i="7"/>
  <c r="AA34" i="7"/>
  <c r="Q34" i="7"/>
  <c r="U25" i="7"/>
  <c r="S25" i="7"/>
  <c r="Y25" i="7"/>
  <c r="O25" i="7"/>
  <c r="W25" i="7"/>
  <c r="Q25" i="7"/>
  <c r="U32" i="7"/>
  <c r="AB32" i="7"/>
  <c r="O32" i="7"/>
  <c r="T32" i="7"/>
  <c r="Y32" i="7"/>
  <c r="W32" i="7"/>
  <c r="T26" i="7"/>
  <c r="Q26" i="7"/>
  <c r="X26" i="7"/>
  <c r="P26" i="7"/>
  <c r="Z26" i="7"/>
  <c r="U26" i="7"/>
  <c r="I28" i="7"/>
  <c r="N28" i="7" s="1"/>
  <c r="AF28" i="7" s="1"/>
  <c r="P37" i="7"/>
  <c r="S37" i="7"/>
  <c r="O37" i="7"/>
  <c r="W37" i="7"/>
  <c r="U37" i="7"/>
  <c r="X37" i="7"/>
  <c r="O36" i="7"/>
  <c r="T36" i="7"/>
  <c r="AA36" i="7"/>
  <c r="AB36" i="7"/>
  <c r="Z36" i="7"/>
  <c r="X36" i="7"/>
  <c r="Z27" i="7"/>
  <c r="Q27" i="7"/>
  <c r="T27" i="7"/>
  <c r="AA27" i="7"/>
  <c r="Y27" i="7"/>
  <c r="S27" i="7"/>
  <c r="R31" i="7"/>
  <c r="M26" i="7"/>
  <c r="R35" i="7"/>
  <c r="I36" i="7"/>
  <c r="N36" i="7" s="1"/>
  <c r="AF36" i="7" s="1"/>
  <c r="R22" i="7"/>
  <c r="R36" i="7"/>
  <c r="K25" i="7"/>
  <c r="I30" i="7"/>
  <c r="N30" i="7" s="1"/>
  <c r="AF30" i="7" s="1"/>
  <c r="I35" i="7"/>
  <c r="N35" i="7" s="1"/>
  <c r="AF35" i="7" s="1"/>
  <c r="R24" i="7"/>
  <c r="Q33" i="7"/>
  <c r="T33" i="7"/>
  <c r="P33" i="7"/>
  <c r="U33" i="7"/>
  <c r="O33" i="7"/>
  <c r="S33" i="7"/>
  <c r="I37" i="7"/>
  <c r="N37" i="7" s="1"/>
  <c r="AF37" i="7" s="1"/>
  <c r="I34" i="7"/>
  <c r="N34" i="7" s="1"/>
  <c r="AF34" i="7" s="1"/>
  <c r="I23" i="7"/>
  <c r="N23" i="7" s="1"/>
  <c r="AF23" i="7" s="1"/>
  <c r="I24" i="7"/>
  <c r="N24" i="7" s="1"/>
  <c r="AF24" i="7" s="1"/>
  <c r="I25" i="7"/>
  <c r="N25" i="7" s="1"/>
  <c r="AF25" i="7" s="1"/>
  <c r="R33" i="7"/>
  <c r="R27" i="7"/>
  <c r="W21" i="7"/>
  <c r="P21" i="7"/>
  <c r="AB21" i="7"/>
  <c r="O21" i="7"/>
  <c r="AA21" i="7"/>
  <c r="Q31" i="7"/>
  <c r="P31" i="7"/>
  <c r="T31" i="7"/>
  <c r="AA31" i="7"/>
  <c r="Z31" i="7"/>
  <c r="T29" i="7"/>
  <c r="O29" i="7"/>
  <c r="U29" i="7"/>
  <c r="Z29" i="7"/>
  <c r="AA29" i="7"/>
  <c r="P29" i="7"/>
  <c r="O27" i="7"/>
  <c r="AB27" i="7"/>
  <c r="X27" i="7"/>
  <c r="AA25" i="7"/>
  <c r="X25" i="7"/>
  <c r="T25" i="7"/>
  <c r="W23" i="7"/>
  <c r="Y23" i="7"/>
  <c r="O23" i="7"/>
  <c r="S30" i="7"/>
  <c r="T30" i="7"/>
  <c r="W30" i="7"/>
  <c r="W28" i="7"/>
  <c r="Y28" i="7"/>
  <c r="Q28" i="7"/>
  <c r="AA26" i="7"/>
  <c r="AB26" i="7"/>
  <c r="Y26" i="7"/>
  <c r="X24" i="7"/>
  <c r="AB24" i="7"/>
  <c r="Q24" i="7"/>
  <c r="X22" i="7"/>
  <c r="T22" i="7"/>
  <c r="W22" i="7"/>
  <c r="Q36" i="7"/>
  <c r="P36" i="7"/>
  <c r="U36" i="7"/>
  <c r="P34" i="7"/>
  <c r="S34" i="7"/>
  <c r="Y34" i="7"/>
  <c r="AA32" i="7"/>
  <c r="Z32" i="7"/>
  <c r="P32" i="7"/>
  <c r="O35" i="7"/>
  <c r="AB35" i="7"/>
  <c r="W35" i="7"/>
  <c r="AB33" i="7"/>
  <c r="Y33" i="7"/>
  <c r="Z33" i="7"/>
  <c r="T37" i="7"/>
  <c r="Z37" i="7"/>
  <c r="AB37" i="7"/>
  <c r="H29" i="7" l="1"/>
  <c r="H27" i="7"/>
  <c r="AF27" i="7"/>
  <c r="K37" i="7"/>
  <c r="M29" i="7"/>
  <c r="K32" i="7"/>
  <c r="H33" i="7"/>
  <c r="H32" i="7"/>
  <c r="H25" i="7"/>
  <c r="H23" i="7"/>
  <c r="H37" i="7"/>
  <c r="H35" i="7"/>
  <c r="H36" i="7"/>
  <c r="H28" i="7"/>
  <c r="M21" i="7"/>
  <c r="K21" i="7"/>
  <c r="H21" i="7"/>
  <c r="K23" i="7"/>
  <c r="M23" i="7"/>
  <c r="M27" i="7"/>
  <c r="K27" i="7"/>
  <c r="M33" i="7"/>
  <c r="K33" i="7"/>
  <c r="H24" i="7"/>
  <c r="H34" i="7"/>
  <c r="K24" i="7"/>
  <c r="M24" i="7"/>
  <c r="H30" i="7"/>
  <c r="K36" i="7"/>
  <c r="M36" i="7"/>
  <c r="M22" i="7"/>
  <c r="K22" i="7"/>
  <c r="M35" i="7"/>
  <c r="K35" i="7"/>
  <c r="K31" i="7"/>
  <c r="M31" i="7"/>
  <c r="H31" i="7"/>
  <c r="K30" i="7"/>
  <c r="M30" i="7"/>
  <c r="M34" i="7"/>
  <c r="K34" i="7"/>
  <c r="H22" i="7"/>
  <c r="M28" i="7"/>
  <c r="K28" i="7"/>
</calcChain>
</file>

<file path=xl/comments1.xml><?xml version="1.0" encoding="utf-8"?>
<comments xmlns="http://schemas.openxmlformats.org/spreadsheetml/2006/main">
  <authors>
    <author>Ein geschätzter Microsoft Office Anwender</author>
  </authors>
  <commentList>
    <comment ref="O1" authorId="0">
      <text>
        <r>
          <rPr>
            <sz val="8"/>
            <color indexed="81"/>
            <rFont val="Tahoma"/>
            <family val="2"/>
          </rPr>
          <t>Eigene Futtermittel können durch Eingabe oder kopieren vorhandener Futtermittel ergänzt werden.
Nutzen Sie hierzu die freien Felder zwischen den Futtermittelgruppen.</t>
        </r>
      </text>
    </comment>
  </commentList>
</comments>
</file>

<file path=xl/comments2.xml><?xml version="1.0" encoding="utf-8"?>
<comments xmlns="http://schemas.openxmlformats.org/spreadsheetml/2006/main">
  <authors>
    <author>Ein geschätzter Microsoft Office Anwender</author>
  </authors>
  <commentList>
    <comment ref="B1" authorId="0">
      <text>
        <r>
          <rPr>
            <sz val="8"/>
            <color indexed="81"/>
            <rFont val="Tahoma"/>
            <family val="2"/>
          </rPr>
          <t>Bildschirmeinstellungen:
Zoom 75%
Bildschirm geteilt: oberes Feld Eingabe
                            unteres Feld Ergebnisse</t>
        </r>
      </text>
    </comment>
    <comment ref="F10" authorId="0">
      <text>
        <r>
          <rPr>
            <sz val="8"/>
            <color indexed="81"/>
            <rFont val="Tahoma"/>
            <family val="2"/>
          </rPr>
          <t xml:space="preserve">Rassegruppe:
- notwendig für BCS-Korrektur
Typ Milch: HF, RH, BV
Typ Zweinutzung: FV </t>
        </r>
      </text>
    </comment>
    <comment ref="V15" authorId="0">
      <text>
        <r>
          <rPr>
            <sz val="12"/>
            <color indexed="81"/>
            <rFont val="Tahoma"/>
            <family val="2"/>
          </rPr>
          <t>Schätzung der Futteraufnahme kann nur nach Auswahl von Futtermitteln und Eingabe von Mengen erfolgen!
- Schätzung Milchvieh nach DLG 2006
-Schätzung Ziegen nach Kessler 1987</t>
        </r>
      </text>
    </comment>
    <comment ref="S17" authorId="0">
      <text>
        <r>
          <rPr>
            <sz val="8"/>
            <color indexed="81"/>
            <rFont val="Tahoma"/>
            <family val="2"/>
          </rPr>
          <t>Ausblenden der Anzeige "Gehalt je kg TS" mit Schaltfläche "Inhaltstoffe ein/aus"</t>
        </r>
      </text>
    </comment>
  </commentList>
</comments>
</file>

<file path=xl/comments3.xml><?xml version="1.0" encoding="utf-8"?>
<comments xmlns="http://schemas.openxmlformats.org/spreadsheetml/2006/main">
  <authors>
    <author>Ein geschätzter Microsoft Office Anwender</author>
  </authors>
  <commentList>
    <comment ref="A1" authorId="0">
      <text>
        <r>
          <rPr>
            <sz val="8"/>
            <color indexed="81"/>
            <rFont val="Tahoma"/>
            <family val="2"/>
          </rPr>
          <t>Bildschirmeinstellungen:
Zoom 75%
Bildschirm geteilt: oberes Feld Eingabe
                            unteres Feld Ergebnisse</t>
        </r>
      </text>
    </comment>
    <comment ref="L13" authorId="0">
      <text>
        <r>
          <rPr>
            <sz val="8"/>
            <color indexed="81"/>
            <rFont val="Tahoma"/>
            <family val="2"/>
          </rPr>
          <t>Ausblenden der Anzeige "Gehalt je kg TM" mit Schaltfläche "Inhaltstoffe ein/aus"</t>
        </r>
      </text>
    </comment>
    <comment ref="Q14" authorId="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authors>
    <author>Ein geschätzter Microsoft Office Anwender</author>
  </authors>
  <commentList>
    <comment ref="R7" authorId="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<sst xmlns="http://schemas.openxmlformats.org/spreadsheetml/2006/main" count="915" uniqueCount="472">
  <si>
    <t>Laktationen</t>
  </si>
  <si>
    <t>Gewicht</t>
  </si>
  <si>
    <t>Milchleistung</t>
  </si>
  <si>
    <t>(tr. ="T")</t>
  </si>
  <si>
    <t>Fett</t>
  </si>
  <si>
    <t>Eiweiß</t>
  </si>
  <si>
    <t>Bedarf der Kuh</t>
  </si>
  <si>
    <t>Anzahl</t>
  </si>
  <si>
    <t>Datum</t>
  </si>
  <si>
    <t>kg</t>
  </si>
  <si>
    <t>kg/Tag</t>
  </si>
  <si>
    <t>%</t>
  </si>
  <si>
    <t>TS</t>
  </si>
  <si>
    <t>NEL</t>
  </si>
  <si>
    <t>nXP</t>
  </si>
  <si>
    <t>RNB</t>
  </si>
  <si>
    <t>XZ</t>
  </si>
  <si>
    <t>XS</t>
  </si>
  <si>
    <t>XF</t>
  </si>
  <si>
    <t>sXF</t>
  </si>
  <si>
    <t>SW</t>
  </si>
  <si>
    <t>ADF</t>
  </si>
  <si>
    <t>NDF</t>
  </si>
  <si>
    <t>MJ</t>
  </si>
  <si>
    <t>g</t>
  </si>
  <si>
    <t>je kg Milch</t>
  </si>
  <si>
    <t>Leistungsbedarf</t>
  </si>
  <si>
    <t>Erhaltungsbedarf</t>
  </si>
  <si>
    <t>&gt; 1,0 - 1,2
 /kg TS</t>
  </si>
  <si>
    <t>Futterart</t>
  </si>
  <si>
    <t>Gehalt der Ration</t>
  </si>
  <si>
    <t>% d. XF</t>
  </si>
  <si>
    <t>Summe</t>
  </si>
  <si>
    <t>kg Milch</t>
  </si>
  <si>
    <t>Milchleistungsfutter</t>
  </si>
  <si>
    <t>Kennzahlen:</t>
  </si>
  <si>
    <t>% sXF</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</si>
  <si>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</si>
  <si>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</si>
  <si>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</si>
  <si>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</si>
  <si>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</si>
  <si>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</si>
  <si>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</si>
  <si>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</si>
  <si>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</si>
  <si>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</si>
  <si>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</si>
  <si>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</si>
  <si>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</si>
  <si>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</si>
  <si>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</si>
  <si>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</si>
  <si>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</si>
  <si>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</si>
  <si>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</si>
  <si>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</si>
  <si>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</si>
  <si>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</si>
  <si>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</si>
  <si>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</si>
  <si>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</si>
  <si>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</si>
  <si>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Struktur-</t>
  </si>
  <si>
    <t>Faser</t>
  </si>
  <si>
    <t>substanz</t>
  </si>
  <si>
    <t>Energie-</t>
  </si>
  <si>
    <t>Energie</t>
  </si>
  <si>
    <t>protein</t>
  </si>
  <si>
    <t>N-</t>
  </si>
  <si>
    <t>wert</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</si>
  <si>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</si>
  <si>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</si>
  <si>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</si>
  <si>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</si>
  <si>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</si>
  <si>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</si>
  <si>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</si>
  <si>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</si>
  <si>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</si>
  <si>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</si>
  <si>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</si>
  <si>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</si>
  <si>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</si>
  <si>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</si>
  <si>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</si>
  <si>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</si>
  <si>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GPS, Gerste (50% Kornanteil)</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</si>
  <si>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</si>
  <si>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</si>
  <si>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</si>
  <si>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</si>
  <si>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</si>
  <si>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</si>
  <si>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</si>
  <si>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</si>
  <si>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</si>
  <si>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</si>
  <si>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</si>
  <si>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</si>
  <si>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</si>
  <si>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</si>
  <si>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</si>
  <si>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18/3</t>
  </si>
  <si>
    <t>MLF 18/3 (nXP+)</t>
  </si>
  <si>
    <t>MLF 20/4</t>
  </si>
  <si>
    <t>MLF 21/3</t>
  </si>
  <si>
    <t>MLF 24/2 (Verschnitt m. Getreide 1:1)</t>
  </si>
  <si>
    <t>Mineralfutter 10/12</t>
  </si>
  <si>
    <t>Mineralfutter 14/7</t>
  </si>
  <si>
    <t>Mineralfutter 22/7</t>
  </si>
  <si>
    <t>Kohlensaurer Futterkalk</t>
  </si>
  <si>
    <t>Viehsalz</t>
  </si>
  <si>
    <t>Harnstoff</t>
  </si>
  <si>
    <t>Beständigkeit XS</t>
  </si>
  <si>
    <t>Luzerne, i.d. Knospe</t>
  </si>
  <si>
    <t>Raps, v.d. Blüte</t>
  </si>
  <si>
    <t>Roggen, Beginn Ährenschieben</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</si>
  <si>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</si>
  <si>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</si>
  <si>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</si>
  <si>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</si>
  <si>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</si>
  <si>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</si>
  <si>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</si>
  <si>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</si>
  <si>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</si>
  <si>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</si>
  <si>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</si>
  <si>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</si>
  <si>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</si>
  <si>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</si>
  <si>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</si>
  <si>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</si>
  <si>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</si>
  <si>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</si>
  <si>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</si>
  <si>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</si>
  <si>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</si>
  <si>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</si>
  <si>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 xml:space="preserve"> </t>
  </si>
  <si>
    <t>reicht für ... kg Milch</t>
  </si>
  <si>
    <t>Rationsbezeichnung</t>
  </si>
  <si>
    <t>TMR HF</t>
  </si>
  <si>
    <t>Einzel HF</t>
  </si>
  <si>
    <t>Laktations-tag</t>
  </si>
  <si>
    <t>Grobfutter</t>
  </si>
  <si>
    <t>Grassilage, 1. S., BW mittel</t>
  </si>
  <si>
    <t>Grassilage, 1. S., BW gering</t>
  </si>
  <si>
    <t>Maissilage, BW mittel</t>
  </si>
  <si>
    <t>Maissilage, BW gering</t>
  </si>
  <si>
    <t>Heu, 1. S., BW mittel</t>
  </si>
  <si>
    <t>Heu, 1. S.,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</si>
  <si>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</si>
  <si>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</si>
  <si>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</si>
  <si>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</si>
  <si>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</si>
  <si>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</si>
  <si>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</si>
  <si>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</si>
  <si>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</si>
  <si>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</si>
  <si>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</si>
  <si>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</si>
  <si>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</si>
  <si>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</si>
  <si>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</si>
  <si>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</si>
  <si>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</si>
  <si>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</si>
  <si>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</si>
  <si>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Grassilage, 1. S., BW gut</t>
  </si>
  <si>
    <t>UDP</t>
  </si>
  <si>
    <t>Grassilage, 2. S., BW gut</t>
  </si>
  <si>
    <t>Grassilage, 2. S., BW mittel</t>
  </si>
  <si>
    <t>Grassilage, 2. S., BW gering</t>
  </si>
  <si>
    <t>Maissilage, BW gut</t>
  </si>
  <si>
    <t>Heu, 1. S., BW gut</t>
  </si>
  <si>
    <t>Heu, 2. S., BW gut</t>
  </si>
  <si>
    <t>Heu, 2. S., BW mittel</t>
  </si>
  <si>
    <t>Heu, 3. S., BW gut</t>
  </si>
  <si>
    <t>Heu, 3. S., BW mittel</t>
  </si>
  <si>
    <t>Grünland, Weide., 1.Aufw.  mittel</t>
  </si>
  <si>
    <t>Grünland, Weide., 1.Aufw.  gut</t>
  </si>
  <si>
    <t>Grünland, Weide., 1.Aufw.  gering</t>
  </si>
  <si>
    <t>Grünland, Weide 2. Aufw. gut</t>
  </si>
  <si>
    <t>Grünland, Weide 2. Aufw. mittel</t>
  </si>
  <si>
    <t>Grünland, Weide 2. Aufw. gering</t>
  </si>
  <si>
    <t>Kleegras 1. Aufwuchs - vor der Knospe</t>
  </si>
  <si>
    <t>Luzerne, Beginn Knospenbildung</t>
  </si>
  <si>
    <t>Luzerne, Beginn Blüte</t>
  </si>
  <si>
    <t>Roggen, Schossen</t>
  </si>
  <si>
    <t>Rohglycerin</t>
  </si>
  <si>
    <t>Propylenglycol</t>
  </si>
  <si>
    <t>Natriumbicarbonat</t>
  </si>
  <si>
    <t>GPS, Ackerbohne</t>
  </si>
  <si>
    <t>GPS, Weizen (50% Kornanteil)</t>
  </si>
  <si>
    <t>Kleegras 1. Aufwuchs - Beginn Knospe</t>
  </si>
  <si>
    <t>Kleegras, 1. Aufwuchs - in der Knospe</t>
  </si>
  <si>
    <t>Kleegras, 1. Aufwuchs - in der Blüte</t>
  </si>
  <si>
    <t>Kleegras, Folgeaufwuchs - vor der Knospe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</si>
  <si>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</si>
  <si>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</si>
  <si>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</si>
  <si>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</si>
  <si>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</si>
  <si>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</si>
  <si>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</si>
  <si>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</si>
  <si>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</si>
  <si>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</si>
  <si>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Rapskuchen /-expeller , 15% Fett</t>
  </si>
  <si>
    <t xml:space="preserve">Sojaextraktionsschrot (gesch.) </t>
  </si>
  <si>
    <t>Komponenten</t>
  </si>
  <si>
    <t>Tage</t>
  </si>
  <si>
    <t>Mineralfutter und Sonstige</t>
  </si>
  <si>
    <t>NEL MJ /kg FM</t>
  </si>
  <si>
    <t>XP, g/kg FM</t>
  </si>
  <si>
    <t>ESt</t>
  </si>
  <si>
    <t>NFC</t>
  </si>
  <si>
    <t>Nicht-</t>
  </si>
  <si>
    <t>FaserKH</t>
  </si>
  <si>
    <t>XA</t>
  </si>
  <si>
    <t>g/TM</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</si>
  <si>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</si>
  <si>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</si>
  <si>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</si>
  <si>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</si>
  <si>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</si>
  <si>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</si>
  <si>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</si>
  <si>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</si>
  <si>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</si>
  <si>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</si>
  <si>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</si>
  <si>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</si>
  <si>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</si>
  <si>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</si>
  <si>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Mischung ...</t>
  </si>
  <si>
    <t>Eigene Analysen</t>
  </si>
  <si>
    <t>Wasser</t>
  </si>
  <si>
    <t>Summe, kg TM</t>
  </si>
  <si>
    <t>Summe, kg FM</t>
  </si>
  <si>
    <t>NEL MJ /kg TM</t>
  </si>
  <si>
    <t>nXP, g/kg TM</t>
  </si>
  <si>
    <t>Eingabemodus FM/TM</t>
  </si>
  <si>
    <t>Tierzahl</t>
  </si>
  <si>
    <t>RNB, g/kg TM</t>
  </si>
  <si>
    <t>ADF, g/kg TM</t>
  </si>
  <si>
    <t>NDF, g/kg TM</t>
  </si>
  <si>
    <t>NFC, g/kg TM</t>
  </si>
  <si>
    <t>peNDF, g/kg</t>
  </si>
  <si>
    <t>Ca, g/kg TM</t>
  </si>
  <si>
    <t>P, g/kg TM</t>
  </si>
  <si>
    <t>Na, g/kg TM</t>
  </si>
  <si>
    <t>Mg, g/kg TM</t>
  </si>
  <si>
    <t>K, g/kg TM</t>
  </si>
  <si>
    <t>XZ, g/kg TM</t>
  </si>
  <si>
    <t>XL,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</si>
  <si>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</si>
  <si>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</si>
  <si>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</si>
  <si>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</si>
  <si>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</si>
  <si>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</si>
  <si>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Grassilage, 3. S., BW gut</t>
  </si>
  <si>
    <t>Grassilage, 3. S., BW mittel</t>
  </si>
  <si>
    <t>Grassilage, 3. S., BW gering</t>
  </si>
  <si>
    <t>Grassilage, ab 4. S., BW gut</t>
  </si>
  <si>
    <t>Grassilage, ab 4. S., BW mittel</t>
  </si>
  <si>
    <t>Grassilage, ab 4. S., BW gering</t>
  </si>
  <si>
    <t>Laktationsnr.</t>
  </si>
  <si>
    <t>Rasse (HF, FV, BV)</t>
  </si>
  <si>
    <t>FV</t>
  </si>
  <si>
    <t>Fett %</t>
  </si>
  <si>
    <t>Eiweiß %</t>
  </si>
  <si>
    <t>Lebendmasse, kg</t>
  </si>
  <si>
    <t>Korrektur
TM-Aufnahme</t>
  </si>
  <si>
    <t>NFCmax</t>
  </si>
  <si>
    <t>TM-Aufnahme</t>
  </si>
  <si>
    <t>Kraftfutterliste - Abruffütterung</t>
  </si>
  <si>
    <r>
      <t xml:space="preserve">Erhaltungsbedarf </t>
    </r>
    <r>
      <rPr>
        <sz val="9"/>
        <rFont val="Arial"/>
        <family val="2"/>
      </rPr>
      <t>(je kg TM)</t>
    </r>
  </si>
  <si>
    <r>
      <t xml:space="preserve">Leistungsbedarf </t>
    </r>
    <r>
      <rPr>
        <sz val="9"/>
        <rFont val="Arial"/>
        <family val="2"/>
      </rPr>
      <t>(je kg Milch)</t>
    </r>
  </si>
  <si>
    <t>Mischplan</t>
  </si>
  <si>
    <t>Bearbeiter:</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</si>
  <si>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</si>
  <si>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</si>
  <si>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</si>
  <si>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</si>
  <si>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</si>
  <si>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</si>
  <si>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</si>
  <si>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</si>
  <si>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</si>
  <si>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</si>
  <si>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</si>
  <si>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</si>
  <si>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</si>
  <si>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</si>
  <si>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</si>
  <si>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</si>
  <si>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</si>
  <si>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</si>
  <si>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</si>
  <si>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</si>
  <si>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</si>
  <si>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</si>
  <si>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</si>
  <si>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</si>
  <si>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</si>
  <si>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</si>
  <si>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</si>
  <si>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</si>
  <si>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</si>
  <si>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</si>
  <si>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</si>
  <si>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</si>
  <si>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</si>
  <si>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</si>
  <si>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</si>
  <si>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</si>
  <si>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</si>
  <si>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</si>
  <si>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</si>
  <si>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</si>
  <si>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</si>
  <si>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</si>
  <si>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</si>
  <si>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</si>
  <si>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LTag</t>
  </si>
  <si>
    <t>ECM</t>
  </si>
  <si>
    <t>KF</t>
  </si>
  <si>
    <t>GF_NEL</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</si>
  <si>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</si>
  <si>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</si>
  <si>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</si>
  <si>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</si>
  <si>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KF-Effizienz</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</si>
  <si>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</si>
  <si>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</si>
  <si>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</si>
  <si>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</si>
  <si>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</si>
  <si>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</si>
  <si>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</si>
  <si>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</si>
  <si>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</si>
  <si>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</si>
  <si>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</si>
  <si>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</si>
  <si>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</si>
  <si>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</si>
  <si>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</si>
  <si>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</si>
  <si>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</si>
  <si>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</si>
  <si>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</si>
  <si>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</si>
  <si>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</si>
  <si>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</si>
  <si>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</si>
  <si>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</si>
  <si>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</si>
  <si>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</si>
  <si>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</si>
  <si>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</si>
  <si>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</si>
  <si>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</si>
  <si>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</si>
  <si>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</si>
  <si>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</si>
  <si>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</si>
  <si>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"Uni-Rat" ist ein einfach zu bedienendes, auf der Basis der Tabellenkalkulation MS-Excel programmiertes Rationsberechnungsprogramm für Rinder, Schafe und Ziegen.
Das Programm umfasst Möglichkeiten der Berechnung von Einzelkomponentenrationen, aufgewerteten Trogrationen (TR) in Kombination mit einer Abruffütterung bis hin zur Totalen Mischration (TMR). Ergänzend können Kraftfutterlisten und Mischpläne erstellt werden. 
"Uni-Rat" ist mit seiner Nutzerführung und den eingebundenen Darstellungen für den schulischen Einsatz in der landwirtschaftlichen Aus- und Fortbildung konzipiert.</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</si>
  <si>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</si>
  <si>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</si>
  <si>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</si>
  <si>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</si>
  <si>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</si>
  <si>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</si>
  <si>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</si>
  <si>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</si>
  <si>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-20 bis 
+50 g</t>
  </si>
  <si>
    <t>Futter-bedarf</t>
  </si>
  <si>
    <t>Abw. V. Ziel</t>
  </si>
  <si>
    <t>Grenzwerte</t>
  </si>
  <si>
    <t>min</t>
  </si>
  <si>
    <t>max</t>
  </si>
  <si>
    <t>DLG 2006, Lehmann u. Kessler, GfE 2001</t>
  </si>
  <si>
    <t>g/kg TM</t>
  </si>
  <si>
    <t>/ kg TM</t>
  </si>
  <si>
    <t>Se</t>
  </si>
  <si>
    <t>mg</t>
  </si>
  <si>
    <t>mg/kg TM</t>
  </si>
  <si>
    <t>Se
mg</t>
  </si>
  <si>
    <t>Ca:P</t>
  </si>
  <si>
    <t>Na:K</t>
  </si>
  <si>
    <t>% v. Bedarfsnorm (GfE 1996)</t>
  </si>
  <si>
    <t>Bedarfsnorm (GfE 1996)</t>
  </si>
  <si>
    <t>1:</t>
  </si>
  <si>
    <t xml:space="preserve">K      </t>
  </si>
  <si>
    <t xml:space="preserve">Se    </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</si>
  <si>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</si>
  <si>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</si>
  <si>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</si>
  <si>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Se, mg/kg TM</t>
  </si>
  <si>
    <t>Jilg</t>
  </si>
  <si>
    <t>Bedarf</t>
  </si>
  <si>
    <t>IST</t>
  </si>
  <si>
    <t>Ausgleich ab kg Milch</t>
  </si>
  <si>
    <t>Ausgleichskraftfutter, kg/Tag (fix)</t>
  </si>
  <si>
    <t>LM-Veränderung
g/Tag</t>
  </si>
  <si>
    <t>NEL-Bilanz
MJ</t>
  </si>
  <si>
    <t>RNB
g/Tag</t>
  </si>
  <si>
    <t>Se
g</t>
  </si>
  <si>
    <t>MLFmax, i.d.TM (Abruffütterung)</t>
  </si>
  <si>
    <t>MLFmin
(AMS)</t>
  </si>
  <si>
    <t>MLF-Transponder
(FM)</t>
  </si>
  <si>
    <t>NEL
MJ/kg TM</t>
  </si>
  <si>
    <t>AusgleichsKF
(FM)</t>
  </si>
  <si>
    <t>TM-Trogration</t>
  </si>
  <si>
    <t>nXP
g/kg TM</t>
  </si>
  <si>
    <t>NFC
g/kg TM</t>
  </si>
  <si>
    <t xml:space="preserve">SW
/kg TM
</t>
  </si>
  <si>
    <t>ADF
g/kg TM</t>
  </si>
  <si>
    <t>NDF
g/kg TM</t>
  </si>
  <si>
    <t>LM-Veränderung</t>
  </si>
  <si>
    <t>g/Tag</t>
  </si>
  <si>
    <t>KF-Anteil
Trogration</t>
  </si>
  <si>
    <t>KF-Gesamt</t>
  </si>
  <si>
    <t>TM-Grobfutter</t>
  </si>
  <si>
    <t>je kg 
TM</t>
  </si>
  <si>
    <r>
      <t>MEW NEL, kg ECM</t>
    </r>
    <r>
      <rPr>
        <b/>
        <vertAlign val="subscript"/>
        <sz val="9"/>
        <rFont val="Arial"/>
        <family val="2"/>
      </rPr>
      <t>650</t>
    </r>
  </si>
  <si>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</si>
  <si>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 xml:space="preserve">Das Arbeitsblatt "Zuteilung Milchleistungsfutter" dient der Erstellung einer Kraftfutterliste als Grundlage der tierindividuellen Kraftfutterzuteilung.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Aufgewerteten Mischration gearbeitet, so ist diese auf der Seite </t>
    </r>
    <r>
      <rPr>
        <b/>
        <sz val="10"/>
        <color theme="4"/>
        <rFont val="Arial"/>
        <family val="2"/>
      </rPr>
      <t>"Ration Milch"</t>
    </r>
    <r>
      <rPr>
        <sz val="10"/>
        <rFont val="Arial"/>
        <family val="2"/>
      </rPr>
      <t xml:space="preserve"> anzulegen. Ergänzend hierzu werden im Spaltenkopf ergänzende Angaben zum Kraftfuttereinsatz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Ausgleichkraftfutter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</si>
  <si>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</si>
  <si>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Die Eingabemaske "Eigenmischung" erlaubt es, betriebseigene Mischungen zu erstellen und zugekaufte Mischfutter anhand einer offenen Deklaration zu kalkulieren. Die benötigten Komponenten werden aus dem Datenbestand der "Futterwerte" ausgewählt. Eine Plausibilitätsprüfung kontrolliert die Vollständigkeit der Mischung. Energiestufe und Nährstoffgehalte werden in einer Übersicht zusammengefasst. Die Seite kann als Mischanweisung ausgedruckt werden.</t>
  </si>
  <si>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</si>
  <si>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</si>
  <si>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vermieden.  </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</si>
  <si>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Bereiche "peNDF" dienen dem Eintrag von Siebungsergebnissen (Schüttelbox).</t>
  </si>
  <si>
    <t>Uni Rat 2016, © W. Sekul, LAZBW Aulendorf</t>
  </si>
  <si>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</si>
  <si>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</si>
  <si>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</si>
  <si>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</si>
  <si>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</si>
  <si>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</si>
  <si>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</si>
  <si>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Ration ...</t>
  </si>
  <si>
    <t>Lakttag</t>
  </si>
  <si>
    <t>Leistungsniveau, kg ECM</t>
  </si>
  <si>
    <t>Konz.pred.</t>
  </si>
  <si>
    <t>MLFTransges.</t>
  </si>
  <si>
    <t>Grundration, incl. Rationsausgleich 
(Trogration, "Ration Milch")</t>
  </si>
  <si>
    <t>Milchleistungsfutter 
(Abruffütterung)</t>
  </si>
  <si>
    <t>UniRat 2017</t>
  </si>
  <si>
    <t>Kosten</t>
  </si>
  <si>
    <t>€/kg</t>
  </si>
  <si>
    <t>€/dt FM</t>
  </si>
  <si>
    <t>€</t>
  </si>
  <si>
    <t>ct/kg MEW</t>
  </si>
  <si>
    <t>Gesamt-menge 
kg FM</t>
  </si>
  <si>
    <t>Kosten €/Tier</t>
  </si>
  <si>
    <r>
      <t>MEW nXP, kg ECM</t>
    </r>
    <r>
      <rPr>
        <b/>
        <vertAlign val="subscript"/>
        <sz val="9"/>
        <rFont val="Arial"/>
        <family val="2"/>
      </rPr>
      <t>650</t>
    </r>
  </si>
  <si>
    <t>Kosten ct/kg MEW</t>
  </si>
  <si>
    <t>UDP, %</t>
  </si>
  <si>
    <t>Kosten €/dt</t>
  </si>
  <si>
    <t>Ausgleichskraftfutter
(Abruffütterung)</t>
  </si>
  <si>
    <t>Kosten €/Tag</t>
  </si>
  <si>
    <t>€/kg FM</t>
  </si>
  <si>
    <t>€/kg KF</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</si>
</sst>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s>
  <fonts count="55" x14ac:knownFonts="1">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i/>
      <sz val="20"/>
      <color indexed="55"/>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sz val="12"/>
      <color indexed="10"/>
      <name val="Arial"/>
      <family val="2"/>
    </font>
    <font>
      <sz val="12"/>
      <color indexed="12"/>
      <name val="Arial"/>
      <family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sz val="9"/>
      <color indexed="8"/>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s>
  <fills count="29">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s>
  <borders count="129">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medium">
        <color indexed="64"/>
      </top>
      <bottom/>
      <diagonal/>
    </border>
    <border>
      <left style="double">
        <color auto="1"/>
      </left>
      <right/>
      <top style="double">
        <color auto="1"/>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style="thin">
        <color indexed="64"/>
      </right>
      <top style="thin">
        <color indexed="64"/>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auto="1"/>
      </left>
      <right style="thin">
        <color auto="1"/>
      </right>
      <top style="thin">
        <color auto="1"/>
      </top>
      <bottom/>
      <diagonal/>
    </border>
    <border>
      <left/>
      <right style="thin">
        <color indexed="64"/>
      </right>
      <top style="thin">
        <color auto="1"/>
      </top>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41" fillId="0" borderId="0" applyNumberFormat="0" applyFill="0" applyBorder="0" applyAlignment="0" applyProtection="0"/>
  </cellStyleXfs>
  <cellXfs count="1531">
    <xf numFmtId="0" fontId="0" fillId="0" borderId="0" xfId="0"/>
    <xf numFmtId="0" fontId="2" fillId="0" borderId="0" xfId="7" applyFont="1"/>
    <xf numFmtId="0" fontId="4" fillId="0" borderId="0" xfId="7" applyFont="1"/>
    <xf numFmtId="0" fontId="5" fillId="0" borderId="0" xfId="7" applyFont="1" applyAlignment="1">
      <alignment vertical="top"/>
    </xf>
    <xf numFmtId="0" fontId="5" fillId="0" borderId="0" xfId="7" applyFont="1" applyAlignment="1">
      <alignment horizontal="center"/>
    </xf>
    <xf numFmtId="0" fontId="4" fillId="2" borderId="0" xfId="7" applyFont="1" applyFill="1" applyBorder="1"/>
    <xf numFmtId="0" fontId="5" fillId="0" borderId="0" xfId="7" applyFont="1"/>
    <xf numFmtId="0" fontId="2" fillId="0" borderId="0" xfId="7" applyFont="1" applyBorder="1"/>
    <xf numFmtId="166" fontId="2" fillId="0" borderId="0" xfId="7" applyNumberFormat="1" applyFont="1"/>
    <xf numFmtId="0" fontId="2" fillId="0" borderId="0" xfId="9"/>
    <xf numFmtId="0" fontId="2" fillId="0" borderId="0" xfId="5"/>
    <xf numFmtId="0" fontId="2" fillId="0" borderId="0" xfId="5" applyBorder="1" applyAlignment="1">
      <alignment horizontal="centerContinuous" vertical="center"/>
    </xf>
    <xf numFmtId="0" fontId="2" fillId="0" borderId="0" xfId="5" applyAlignment="1">
      <alignment vertical="center"/>
    </xf>
    <xf numFmtId="165" fontId="2" fillId="0" borderId="0" xfId="5" applyNumberFormat="1" applyFill="1" applyBorder="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Border="1" applyAlignment="1" applyProtection="1">
      <alignment vertical="center"/>
      <protection locked="0"/>
    </xf>
    <xf numFmtId="49" fontId="2" fillId="0" borderId="0" xfId="5" applyNumberFormat="1" applyFont="1" applyAlignment="1">
      <alignment vertical="center"/>
    </xf>
    <xf numFmtId="49" fontId="2" fillId="0" borderId="0" xfId="5" applyNumberFormat="1" applyFont="1"/>
    <xf numFmtId="0" fontId="4" fillId="4" borderId="52" xfId="7" applyFont="1" applyFill="1" applyBorder="1" applyAlignment="1">
      <alignment vertical="top"/>
    </xf>
    <xf numFmtId="0" fontId="2" fillId="0" borderId="0" xfId="5" applyBorder="1"/>
    <xf numFmtId="0" fontId="9" fillId="2" borderId="0" xfId="7" applyFont="1" applyFill="1" applyBorder="1"/>
    <xf numFmtId="1" fontId="2" fillId="0" borderId="0" xfId="5" applyNumberFormat="1"/>
    <xf numFmtId="0" fontId="9" fillId="7" borderId="43" xfId="7" applyFont="1" applyFill="1" applyBorder="1" applyAlignment="1" applyProtection="1">
      <alignment horizontal="left"/>
      <protection locked="0"/>
    </xf>
    <xf numFmtId="0" fontId="9" fillId="7" borderId="78" xfId="7" applyFont="1" applyFill="1" applyBorder="1" applyAlignment="1" applyProtection="1">
      <alignment horizontal="left"/>
      <protection locked="0"/>
    </xf>
    <xf numFmtId="0" fontId="14" fillId="2" borderId="0" xfId="7" applyFont="1" applyFill="1" applyBorder="1" applyAlignment="1">
      <alignment horizontal="left"/>
    </xf>
    <xf numFmtId="0" fontId="14" fillId="6" borderId="52" xfId="7" applyFont="1" applyFill="1" applyBorder="1" applyAlignment="1">
      <alignment horizontal="left"/>
    </xf>
    <xf numFmtId="0" fontId="9" fillId="6" borderId="70" xfId="7" applyFont="1" applyFill="1" applyBorder="1" applyAlignment="1">
      <alignment horizontal="centerContinuous"/>
    </xf>
    <xf numFmtId="0" fontId="9" fillId="6" borderId="41" xfId="7" applyFont="1" applyFill="1" applyBorder="1" applyAlignment="1">
      <alignment horizontal="centerContinuous"/>
    </xf>
    <xf numFmtId="170" fontId="9" fillId="6" borderId="54" xfId="7" applyNumberFormat="1" applyFont="1" applyFill="1" applyBorder="1" applyAlignment="1" applyProtection="1">
      <alignment horizontal="centerContinuous"/>
      <protection locked="0"/>
    </xf>
    <xf numFmtId="0" fontId="14" fillId="6" borderId="0" xfId="7" applyFont="1" applyFill="1" applyBorder="1" applyAlignment="1">
      <alignment horizontal="left" vertical="center"/>
    </xf>
    <xf numFmtId="0" fontId="9" fillId="6" borderId="0" xfId="7" applyFont="1" applyFill="1" applyBorder="1" applyAlignment="1">
      <alignment horizontal="centerContinuous"/>
    </xf>
    <xf numFmtId="0" fontId="9" fillId="6" borderId="55" xfId="7" applyFont="1" applyFill="1" applyBorder="1" applyAlignment="1">
      <alignment horizontal="centerContinuous"/>
    </xf>
    <xf numFmtId="0" fontId="9" fillId="6" borderId="56" xfId="7" applyFont="1" applyFill="1" applyBorder="1" applyAlignment="1">
      <alignment horizontal="centerContinuous"/>
    </xf>
    <xf numFmtId="0" fontId="14" fillId="6" borderId="28" xfId="7" applyFont="1" applyFill="1" applyBorder="1" applyAlignment="1">
      <alignment horizontal="left" vertical="center"/>
    </xf>
    <xf numFmtId="0" fontId="9" fillId="6" borderId="28" xfId="7" applyFont="1" applyFill="1" applyBorder="1" applyAlignment="1">
      <alignment horizontal="centerContinuous"/>
    </xf>
    <xf numFmtId="0" fontId="9" fillId="6" borderId="57" xfId="7" applyFont="1" applyFill="1" applyBorder="1" applyAlignment="1">
      <alignment horizontal="centerContinuous"/>
    </xf>
    <xf numFmtId="0" fontId="9" fillId="2" borderId="0" xfId="7" applyFont="1" applyFill="1" applyBorder="1" applyAlignment="1">
      <alignment horizontal="center" vertical="top"/>
    </xf>
    <xf numFmtId="0" fontId="9" fillId="2" borderId="0" xfId="7" applyFont="1" applyFill="1" applyBorder="1" applyAlignment="1">
      <alignment horizontal="center"/>
    </xf>
    <xf numFmtId="165" fontId="9" fillId="2" borderId="0" xfId="7" applyNumberFormat="1" applyFont="1" applyFill="1" applyBorder="1" applyAlignment="1" applyProtection="1">
      <alignment horizontal="center"/>
      <protection locked="0"/>
    </xf>
    <xf numFmtId="0" fontId="9" fillId="0" borderId="0" xfId="7" applyFont="1"/>
    <xf numFmtId="0" fontId="9" fillId="0" borderId="0" xfId="7" applyFont="1" applyAlignment="1">
      <alignment vertical="top"/>
    </xf>
    <xf numFmtId="0" fontId="14" fillId="0" borderId="56" xfId="7" applyFont="1" applyFill="1" applyBorder="1" applyAlignment="1" applyProtection="1">
      <alignment horizontal="center"/>
      <protection locked="0"/>
    </xf>
    <xf numFmtId="0" fontId="9" fillId="0" borderId="0" xfId="7" applyFont="1" applyAlignment="1">
      <alignment horizontal="center"/>
    </xf>
    <xf numFmtId="0" fontId="14" fillId="5" borderId="38" xfId="7" applyFont="1" applyFill="1" applyBorder="1" applyAlignment="1" applyProtection="1">
      <alignment horizontal="left"/>
    </xf>
    <xf numFmtId="0" fontId="14" fillId="5" borderId="41" xfId="7" applyFont="1" applyFill="1" applyBorder="1" applyAlignment="1" applyProtection="1">
      <alignment horizontal="left"/>
    </xf>
    <xf numFmtId="170" fontId="14" fillId="5" borderId="64" xfId="7" applyNumberFormat="1" applyFont="1" applyFill="1" applyBorder="1" applyAlignment="1" applyProtection="1">
      <alignment horizontal="left"/>
      <protection locked="0"/>
    </xf>
    <xf numFmtId="170" fontId="14" fillId="5" borderId="58" xfId="7" applyNumberFormat="1" applyFont="1" applyFill="1" applyBorder="1" applyAlignment="1" applyProtection="1">
      <alignment horizontal="left"/>
    </xf>
    <xf numFmtId="170" fontId="14" fillId="5" borderId="57" xfId="7" applyNumberFormat="1" applyFont="1" applyFill="1" applyBorder="1" applyAlignment="1" applyProtection="1">
      <alignment horizontal="left"/>
    </xf>
    <xf numFmtId="170" fontId="14" fillId="2" borderId="0" xfId="7" applyNumberFormat="1" applyFont="1" applyFill="1" applyBorder="1" applyAlignment="1">
      <alignment horizontal="left"/>
    </xf>
    <xf numFmtId="0" fontId="9" fillId="0" borderId="0" xfId="7" applyFont="1" applyAlignment="1">
      <alignment horizontal="left"/>
    </xf>
    <xf numFmtId="0" fontId="9" fillId="0" borderId="0" xfId="7" applyFont="1" applyBorder="1"/>
    <xf numFmtId="166" fontId="9" fillId="0" borderId="0" xfId="7" applyNumberFormat="1" applyFont="1"/>
    <xf numFmtId="170" fontId="9" fillId="0" borderId="33" xfId="7" applyNumberFormat="1" applyFont="1" applyFill="1" applyBorder="1" applyAlignment="1" applyProtection="1">
      <alignment horizontal="left" vertical="center"/>
      <protection locked="0"/>
    </xf>
    <xf numFmtId="170" fontId="9" fillId="0" borderId="42" xfId="7" applyNumberFormat="1" applyFont="1" applyFill="1" applyBorder="1" applyAlignment="1" applyProtection="1">
      <alignment horizontal="left" vertical="center"/>
      <protection locked="0"/>
    </xf>
    <xf numFmtId="167" fontId="9" fillId="0" borderId="65" xfId="7" applyNumberFormat="1" applyFont="1" applyFill="1" applyBorder="1" applyAlignment="1" applyProtection="1">
      <alignment horizontal="left" vertical="center"/>
      <protection locked="0"/>
    </xf>
    <xf numFmtId="165" fontId="9" fillId="4" borderId="76"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2" fontId="9" fillId="4" borderId="20" xfId="7" applyNumberFormat="1" applyFont="1" applyFill="1" applyBorder="1" applyAlignment="1" applyProtection="1">
      <alignment horizontal="center" vertical="center"/>
    </xf>
    <xf numFmtId="2" fontId="9" fillId="4" borderId="32"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protection locked="0"/>
    </xf>
    <xf numFmtId="170" fontId="9" fillId="0" borderId="81" xfId="7" applyNumberFormat="1" applyFont="1" applyFill="1" applyBorder="1" applyAlignment="1" applyProtection="1">
      <alignment horizontal="left" vertical="center"/>
      <protection locked="0"/>
    </xf>
    <xf numFmtId="167" fontId="9" fillId="0" borderId="66" xfId="7" applyNumberFormat="1" applyFont="1" applyFill="1" applyBorder="1" applyAlignment="1" applyProtection="1">
      <alignment horizontal="left" vertical="center"/>
      <protection locked="0"/>
    </xf>
    <xf numFmtId="165" fontId="9" fillId="4" borderId="74"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70" fontId="9" fillId="0" borderId="17" xfId="7" applyNumberFormat="1" applyFont="1" applyFill="1" applyBorder="1" applyAlignment="1" applyProtection="1">
      <alignment horizontal="left" vertical="center"/>
      <protection locked="0"/>
    </xf>
    <xf numFmtId="170" fontId="9" fillId="0" borderId="82" xfId="7" applyNumberFormat="1" applyFont="1" applyFill="1" applyBorder="1" applyAlignment="1" applyProtection="1">
      <alignment horizontal="left" vertical="center"/>
      <protection locked="0"/>
    </xf>
    <xf numFmtId="167" fontId="9" fillId="0" borderId="67" xfId="7" applyNumberFormat="1" applyFont="1" applyFill="1" applyBorder="1" applyAlignment="1" applyProtection="1">
      <alignment horizontal="left" vertical="center"/>
      <protection locked="0"/>
    </xf>
    <xf numFmtId="165" fontId="9" fillId="4" borderId="75"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2" fontId="9" fillId="4" borderId="16" xfId="7" applyNumberFormat="1" applyFont="1" applyFill="1" applyBorder="1" applyAlignment="1" applyProtection="1">
      <alignment horizontal="center"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167" fontId="9" fillId="0" borderId="42" xfId="7" applyNumberFormat="1" applyFont="1" applyFill="1" applyBorder="1" applyAlignment="1">
      <alignment vertical="center"/>
    </xf>
    <xf numFmtId="167" fontId="9" fillId="0" borderId="81" xfId="7" applyNumberFormat="1" applyFont="1" applyFill="1" applyBorder="1" applyAlignment="1">
      <alignment vertical="center"/>
    </xf>
    <xf numFmtId="2" fontId="9" fillId="4" borderId="44" xfId="7" applyNumberFormat="1" applyFont="1" applyFill="1" applyBorder="1" applyAlignment="1" applyProtection="1">
      <alignment horizontal="center" vertical="center"/>
    </xf>
    <xf numFmtId="167" fontId="9" fillId="0" borderId="81" xfId="7" applyNumberFormat="1" applyFont="1" applyFill="1" applyBorder="1" applyAlignment="1" applyProtection="1">
      <alignment horizontal="left" vertical="center"/>
      <protection locked="0"/>
    </xf>
    <xf numFmtId="167" fontId="9" fillId="0" borderId="82" xfId="7" applyNumberFormat="1" applyFont="1" applyFill="1" applyBorder="1" applyAlignment="1" applyProtection="1">
      <alignment horizontal="left" vertical="center"/>
      <protection locked="0"/>
    </xf>
    <xf numFmtId="0" fontId="9" fillId="2" borderId="0" xfId="7" applyFont="1" applyFill="1" applyBorder="1" applyAlignment="1">
      <alignment horizontal="left" vertical="center"/>
    </xf>
    <xf numFmtId="0" fontId="9" fillId="0" borderId="0" xfId="7" applyFont="1" applyBorder="1" applyProtection="1">
      <protection locked="0"/>
    </xf>
    <xf numFmtId="0" fontId="9" fillId="0" borderId="0" xfId="7" applyFont="1" applyBorder="1" applyAlignment="1" applyProtection="1">
      <alignment vertical="top"/>
      <protection locked="0"/>
    </xf>
    <xf numFmtId="0" fontId="9" fillId="0" borderId="0" xfId="7" applyFont="1" applyBorder="1" applyAlignment="1" applyProtection="1">
      <alignment horizontal="center"/>
      <protection locked="0"/>
    </xf>
    <xf numFmtId="0" fontId="9" fillId="0" borderId="0" xfId="7" applyFont="1" applyBorder="1" applyAlignment="1">
      <alignment vertical="center"/>
    </xf>
    <xf numFmtId="170" fontId="9" fillId="3" borderId="42" xfId="7" applyNumberFormat="1" applyFont="1" applyFill="1" applyBorder="1" applyAlignment="1" applyProtection="1">
      <alignment vertical="center"/>
      <protection locked="0"/>
    </xf>
    <xf numFmtId="170" fontId="9" fillId="3" borderId="82" xfId="7" applyNumberFormat="1" applyFont="1" applyFill="1" applyBorder="1" applyAlignment="1" applyProtection="1">
      <alignment vertical="center"/>
      <protection locked="0"/>
    </xf>
    <xf numFmtId="2" fontId="9" fillId="0" borderId="76" xfId="7" applyNumberFormat="1" applyFont="1" applyFill="1" applyBorder="1" applyAlignment="1" applyProtection="1">
      <alignment horizontal="center" vertical="center"/>
      <protection locked="0"/>
    </xf>
    <xf numFmtId="2" fontId="9" fillId="0" borderId="75" xfId="7" applyNumberFormat="1" applyFont="1" applyFill="1" applyBorder="1" applyAlignment="1" applyProtection="1">
      <alignment horizontal="center" vertical="center"/>
      <protection locked="0"/>
    </xf>
    <xf numFmtId="170" fontId="9" fillId="3" borderId="13"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2" fontId="9" fillId="0" borderId="84" xfId="7" applyNumberFormat="1" applyFont="1" applyFill="1" applyBorder="1" applyAlignment="1" applyProtection="1">
      <alignment horizontal="center" vertical="center"/>
      <protection locked="0"/>
    </xf>
    <xf numFmtId="2" fontId="9" fillId="0" borderId="74" xfId="7" applyNumberFormat="1" applyFont="1" applyFill="1" applyBorder="1" applyAlignment="1" applyProtection="1">
      <alignment horizontal="center" vertical="center"/>
      <protection locked="0"/>
    </xf>
    <xf numFmtId="165" fontId="9" fillId="0" borderId="76" xfId="7" applyNumberFormat="1" applyFont="1" applyFill="1" applyBorder="1" applyAlignment="1" applyProtection="1">
      <alignment horizontal="center" vertical="center"/>
      <protection locked="0"/>
    </xf>
    <xf numFmtId="165" fontId="9" fillId="0" borderId="74" xfId="7" applyNumberFormat="1" applyFont="1" applyFill="1" applyBorder="1" applyAlignment="1" applyProtection="1">
      <alignment horizontal="center" vertical="center"/>
      <protection locked="0"/>
    </xf>
    <xf numFmtId="165" fontId="9" fillId="0" borderId="75" xfId="7" applyNumberFormat="1" applyFont="1" applyFill="1" applyBorder="1" applyAlignment="1" applyProtection="1">
      <alignment horizontal="center" vertical="center"/>
      <protection locked="0"/>
    </xf>
    <xf numFmtId="0" fontId="9" fillId="0" borderId="36" xfId="7" applyFont="1" applyFill="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Fill="1" applyBorder="1" applyAlignment="1" applyProtection="1">
      <alignment horizontal="center" vertical="center"/>
      <protection locked="0"/>
    </xf>
    <xf numFmtId="0" fontId="9" fillId="0" borderId="47" xfId="7" applyFont="1" applyFill="1" applyBorder="1" applyAlignment="1" applyProtection="1">
      <alignment horizontal="center" vertical="center"/>
      <protection locked="0"/>
    </xf>
    <xf numFmtId="165" fontId="9" fillId="0" borderId="48" xfId="7" applyNumberFormat="1" applyFont="1" applyFill="1" applyBorder="1" applyAlignment="1" applyProtection="1">
      <alignment horizontal="center" vertical="center"/>
      <protection locked="0"/>
    </xf>
    <xf numFmtId="165" fontId="9" fillId="0" borderId="57" xfId="7" applyNumberFormat="1" applyFont="1" applyFill="1" applyBorder="1" applyAlignment="1" applyProtection="1">
      <alignment horizontal="center" vertical="center"/>
      <protection locked="0"/>
    </xf>
    <xf numFmtId="0" fontId="9" fillId="4" borderId="32"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0" borderId="0" xfId="7" applyFont="1" applyBorder="1" applyAlignment="1">
      <alignment horizontal="center" vertical="center"/>
    </xf>
    <xf numFmtId="0" fontId="9" fillId="4" borderId="70" xfId="7" applyFont="1" applyFill="1" applyBorder="1" applyAlignment="1">
      <alignment vertical="center"/>
    </xf>
    <xf numFmtId="0" fontId="9" fillId="4" borderId="34"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13" borderId="0" xfId="5" applyFont="1" applyFill="1" applyBorder="1" applyAlignment="1">
      <alignment horizontal="center" vertical="center"/>
    </xf>
    <xf numFmtId="0" fontId="9" fillId="0" borderId="64" xfId="7" applyFont="1" applyFill="1" applyBorder="1" applyAlignment="1" applyProtection="1">
      <alignment horizontal="left" indent="2"/>
    </xf>
    <xf numFmtId="0" fontId="9" fillId="0" borderId="57" xfId="7" applyFont="1" applyFill="1" applyBorder="1" applyAlignment="1" applyProtection="1">
      <alignment horizontal="left" indent="2"/>
    </xf>
    <xf numFmtId="0" fontId="8" fillId="9" borderId="104" xfId="0" applyFont="1" applyFill="1" applyBorder="1" applyAlignment="1" applyProtection="1">
      <alignment horizontal="center"/>
      <protection hidden="1"/>
    </xf>
    <xf numFmtId="0" fontId="8" fillId="9" borderId="0" xfId="0" applyFont="1" applyFill="1" applyProtection="1">
      <protection hidden="1"/>
    </xf>
    <xf numFmtId="0" fontId="8" fillId="9" borderId="3" xfId="0" applyFont="1" applyFill="1" applyBorder="1" applyAlignment="1" applyProtection="1">
      <alignment horizontal="left" indent="1"/>
      <protection hidden="1"/>
    </xf>
    <xf numFmtId="0" fontId="8" fillId="9" borderId="0" xfId="0" applyFont="1" applyFill="1" applyBorder="1" applyAlignment="1" applyProtection="1">
      <alignment horizontal="center"/>
      <protection hidden="1"/>
    </xf>
    <xf numFmtId="0" fontId="8" fillId="9" borderId="0" xfId="0" applyFont="1" applyFill="1" applyBorder="1" applyAlignment="1" applyProtection="1">
      <alignment horizontal="left" indent="1"/>
      <protection hidden="1"/>
    </xf>
    <xf numFmtId="0" fontId="8" fillId="9" borderId="8" xfId="0" applyFont="1" applyFill="1" applyBorder="1" applyAlignment="1" applyProtection="1">
      <alignment horizontal="center"/>
      <protection hidden="1"/>
    </xf>
    <xf numFmtId="0" fontId="8" fillId="9" borderId="0" xfId="0" applyFont="1" applyFill="1" applyBorder="1" applyProtection="1">
      <protection hidden="1"/>
    </xf>
    <xf numFmtId="167" fontId="8" fillId="9" borderId="0" xfId="1" applyNumberFormat="1" applyFont="1" applyFill="1" applyBorder="1" applyAlignment="1" applyProtection="1">
      <alignment horizontal="center" vertical="center"/>
      <protection hidden="1"/>
    </xf>
    <xf numFmtId="0" fontId="8" fillId="9" borderId="8" xfId="0" applyFont="1" applyFill="1" applyBorder="1" applyProtection="1">
      <protection hidden="1"/>
    </xf>
    <xf numFmtId="0" fontId="8" fillId="9" borderId="8" xfId="0" applyFont="1" applyFill="1" applyBorder="1" applyAlignment="1" applyProtection="1">
      <alignment horizontal="center"/>
      <protection locked="0" hidden="1"/>
    </xf>
    <xf numFmtId="167" fontId="8" fillId="9" borderId="0" xfId="0" applyNumberFormat="1" applyFont="1" applyFill="1" applyBorder="1" applyAlignment="1" applyProtection="1">
      <alignment horizontal="center"/>
      <protection hidden="1"/>
    </xf>
    <xf numFmtId="0" fontId="8" fillId="9" borderId="0" xfId="0" applyNumberFormat="1" applyFont="1" applyFill="1" applyBorder="1" applyAlignment="1" applyProtection="1">
      <alignment vertical="center"/>
      <protection hidden="1"/>
    </xf>
    <xf numFmtId="0" fontId="8" fillId="9" borderId="0" xfId="0" applyNumberFormat="1" applyFont="1" applyFill="1" applyBorder="1" applyProtection="1">
      <protection hidden="1"/>
    </xf>
    <xf numFmtId="0" fontId="8" fillId="9" borderId="8" xfId="0" applyNumberFormat="1" applyFont="1" applyFill="1" applyBorder="1" applyAlignment="1" applyProtection="1">
      <alignment horizontal="center"/>
      <protection locked="0" hidden="1"/>
    </xf>
    <xf numFmtId="0" fontId="8" fillId="9" borderId="0" xfId="0" applyNumberFormat="1" applyFont="1" applyFill="1" applyProtection="1">
      <protection hidden="1"/>
    </xf>
    <xf numFmtId="0" fontId="0" fillId="15" borderId="0" xfId="0" applyFill="1"/>
    <xf numFmtId="167" fontId="15" fillId="9" borderId="3" xfId="0" applyNumberFormat="1" applyFont="1" applyFill="1" applyBorder="1" applyAlignment="1" applyProtection="1">
      <alignment horizontal="left" vertical="top" indent="1"/>
      <protection hidden="1"/>
    </xf>
    <xf numFmtId="167" fontId="8" fillId="9" borderId="0" xfId="0" applyNumberFormat="1" applyFont="1" applyFill="1" applyBorder="1" applyAlignment="1" applyProtection="1">
      <alignment horizontal="center" vertical="center"/>
      <protection hidden="1"/>
    </xf>
    <xf numFmtId="167" fontId="15" fillId="9" borderId="0" xfId="0" applyNumberFormat="1" applyFont="1" applyFill="1" applyBorder="1" applyAlignment="1" applyProtection="1">
      <alignment horizontal="left" vertical="top" indent="1"/>
      <protection hidden="1"/>
    </xf>
    <xf numFmtId="167" fontId="8" fillId="9" borderId="8" xfId="0" applyNumberFormat="1" applyFont="1" applyFill="1" applyBorder="1" applyAlignment="1" applyProtection="1">
      <alignment horizontal="center"/>
      <protection hidden="1"/>
    </xf>
    <xf numFmtId="167" fontId="8" fillId="9" borderId="0" xfId="0" applyNumberFormat="1" applyFont="1" applyFill="1" applyProtection="1">
      <protection hidden="1"/>
    </xf>
    <xf numFmtId="167" fontId="14" fillId="9" borderId="0" xfId="1" applyNumberFormat="1" applyFont="1" applyFill="1" applyBorder="1" applyAlignment="1" applyProtection="1">
      <alignment horizontal="center"/>
      <protection hidden="1"/>
    </xf>
    <xf numFmtId="176" fontId="9" fillId="9" borderId="0" xfId="0" applyNumberFormat="1" applyFont="1" applyFill="1" applyBorder="1" applyAlignment="1" applyProtection="1">
      <alignment horizontal="center"/>
      <protection hidden="1"/>
    </xf>
    <xf numFmtId="165" fontId="9" fillId="9" borderId="8" xfId="0" applyNumberFormat="1" applyFont="1" applyFill="1" applyBorder="1" applyAlignment="1" applyProtection="1">
      <alignment horizontal="center"/>
      <protection hidden="1"/>
    </xf>
    <xf numFmtId="165" fontId="9" fillId="16" borderId="8" xfId="0" applyNumberFormat="1" applyFont="1" applyFill="1" applyBorder="1" applyAlignment="1" applyProtection="1">
      <alignment horizontal="center"/>
      <protection hidden="1"/>
    </xf>
    <xf numFmtId="167" fontId="8" fillId="9" borderId="0" xfId="0" applyNumberFormat="1" applyFont="1" applyFill="1" applyBorder="1" applyProtection="1">
      <protection hidden="1"/>
    </xf>
    <xf numFmtId="167" fontId="9" fillId="9" borderId="61" xfId="0" applyNumberFormat="1" applyFont="1" applyFill="1" applyBorder="1" applyAlignment="1" applyProtection="1">
      <alignment horizontal="center"/>
      <protection hidden="1"/>
    </xf>
    <xf numFmtId="167" fontId="9" fillId="9" borderId="10" xfId="0" applyNumberFormat="1" applyFont="1" applyFill="1" applyBorder="1" applyAlignment="1" applyProtection="1">
      <alignment horizontal="center"/>
      <protection hidden="1"/>
    </xf>
    <xf numFmtId="178" fontId="9" fillId="9" borderId="10" xfId="0" applyNumberFormat="1" applyFont="1" applyFill="1" applyBorder="1" applyAlignment="1" applyProtection="1">
      <alignment horizontal="center"/>
      <protection hidden="1"/>
    </xf>
    <xf numFmtId="164" fontId="8" fillId="9" borderId="0" xfId="1" applyFont="1" applyFill="1" applyProtection="1">
      <protection hidden="1"/>
    </xf>
    <xf numFmtId="0" fontId="8" fillId="9" borderId="0" xfId="0" applyFont="1" applyFill="1" applyAlignment="1" applyProtection="1">
      <alignment horizontal="left" vertical="top" wrapText="1"/>
      <protection hidden="1"/>
    </xf>
    <xf numFmtId="164" fontId="8" fillId="9" borderId="0" xfId="1" applyFont="1" applyFill="1" applyAlignment="1" applyProtection="1">
      <alignment horizontal="left" vertical="top" wrapText="1"/>
      <protection hidden="1"/>
    </xf>
    <xf numFmtId="0" fontId="14" fillId="15" borderId="0" xfId="7" applyFont="1" applyFill="1" applyBorder="1" applyAlignment="1">
      <alignment horizontal="centerContinuous"/>
    </xf>
    <xf numFmtId="0" fontId="9" fillId="15" borderId="0" xfId="7" applyFont="1" applyFill="1" applyBorder="1" applyAlignment="1">
      <alignment horizontal="centerContinuous"/>
    </xf>
    <xf numFmtId="0" fontId="14" fillId="15" borderId="0" xfId="7" applyFont="1" applyFill="1" applyBorder="1" applyAlignment="1">
      <alignment horizontal="left"/>
    </xf>
    <xf numFmtId="0" fontId="9" fillId="15" borderId="0" xfId="7" applyFont="1" applyFill="1" applyBorder="1"/>
    <xf numFmtId="0" fontId="20" fillId="15" borderId="0" xfId="9" applyFont="1" applyFill="1" applyBorder="1"/>
    <xf numFmtId="0" fontId="9" fillId="15" borderId="0" xfId="7" applyFont="1" applyFill="1" applyBorder="1" applyAlignment="1">
      <alignment horizontal="center"/>
    </xf>
    <xf numFmtId="170" fontId="14" fillId="15" borderId="0" xfId="7" applyNumberFormat="1" applyFont="1" applyFill="1" applyBorder="1" applyAlignment="1">
      <alignment horizontal="left"/>
    </xf>
    <xf numFmtId="0" fontId="16" fillId="15" borderId="0" xfId="8" applyFont="1" applyFill="1" applyBorder="1"/>
    <xf numFmtId="0" fontId="9" fillId="15" borderId="0" xfId="7" applyFont="1" applyFill="1" applyBorder="1" applyAlignment="1">
      <alignment horizontal="centerContinuous" wrapText="1"/>
    </xf>
    <xf numFmtId="0" fontId="9" fillId="15" borderId="0" xfId="7" applyFont="1" applyFill="1" applyBorder="1" applyAlignment="1">
      <alignment horizontal="left"/>
    </xf>
    <xf numFmtId="0" fontId="9" fillId="15" borderId="0" xfId="7" applyFont="1" applyFill="1" applyBorder="1" applyAlignment="1" applyProtection="1">
      <alignment vertical="top"/>
    </xf>
    <xf numFmtId="0" fontId="9" fillId="15" borderId="0" xfId="7" applyFont="1" applyFill="1" applyBorder="1" applyAlignment="1">
      <alignment horizontal="center" vertical="top"/>
    </xf>
    <xf numFmtId="0" fontId="9" fillId="15" borderId="0" xfId="7" applyFont="1" applyFill="1" applyBorder="1" applyAlignment="1">
      <alignment vertical="top"/>
    </xf>
    <xf numFmtId="165" fontId="9" fillId="15" borderId="0" xfId="7" applyNumberFormat="1" applyFont="1" applyFill="1" applyBorder="1" applyAlignment="1" applyProtection="1">
      <alignment horizontal="center"/>
      <protection locked="0"/>
    </xf>
    <xf numFmtId="0" fontId="9" fillId="15" borderId="0" xfId="7" applyFont="1" applyFill="1" applyBorder="1" applyProtection="1">
      <protection locked="0"/>
    </xf>
    <xf numFmtId="0" fontId="9" fillId="15" borderId="0" xfId="7" applyFont="1" applyFill="1" applyBorder="1" applyAlignment="1">
      <alignment vertical="center"/>
    </xf>
    <xf numFmtId="0" fontId="9" fillId="15" borderId="28" xfId="7" applyFont="1" applyFill="1" applyBorder="1"/>
    <xf numFmtId="0" fontId="9" fillId="15" borderId="4" xfId="7" applyFont="1" applyFill="1" applyBorder="1"/>
    <xf numFmtId="0" fontId="9" fillId="15" borderId="0" xfId="7" applyFont="1" applyFill="1" applyBorder="1" applyAlignment="1">
      <alignment horizontal="center" vertical="center"/>
    </xf>
    <xf numFmtId="165" fontId="9" fillId="15" borderId="0" xfId="7" applyNumberFormat="1" applyFont="1" applyFill="1" applyBorder="1" applyAlignment="1" applyProtection="1">
      <alignment horizontal="center" vertical="center"/>
    </xf>
    <xf numFmtId="0" fontId="9" fillId="15" borderId="0" xfId="7" applyFont="1" applyFill="1" applyBorder="1" applyAlignment="1" applyProtection="1">
      <alignment horizontal="center" vertical="center"/>
    </xf>
    <xf numFmtId="1" fontId="9" fillId="15" borderId="0" xfId="7" applyNumberFormat="1" applyFont="1" applyFill="1" applyBorder="1" applyAlignment="1" applyProtection="1">
      <alignment horizontal="center" vertical="center"/>
    </xf>
    <xf numFmtId="9" fontId="14" fillId="15" borderId="0" xfId="2" applyFont="1" applyFill="1" applyBorder="1" applyAlignment="1">
      <alignment horizontal="left" vertical="center"/>
    </xf>
    <xf numFmtId="0" fontId="9" fillId="15" borderId="0" xfId="7" applyFont="1" applyFill="1" applyBorder="1" applyAlignment="1" applyProtection="1">
      <alignment vertical="center"/>
    </xf>
    <xf numFmtId="0" fontId="4" fillId="15" borderId="0" xfId="7" applyFont="1" applyFill="1" applyBorder="1"/>
    <xf numFmtId="0" fontId="4" fillId="15" borderId="8" xfId="7" applyFont="1" applyFill="1" applyBorder="1"/>
    <xf numFmtId="167" fontId="2" fillId="15" borderId="9" xfId="5" applyNumberFormat="1" applyFill="1" applyBorder="1" applyAlignment="1">
      <alignment horizontal="center" vertical="center"/>
    </xf>
    <xf numFmtId="167" fontId="2" fillId="15" borderId="0" xfId="5" applyNumberFormat="1" applyFill="1" applyBorder="1" applyAlignment="1">
      <alignment horizontal="center" vertical="center"/>
    </xf>
    <xf numFmtId="167" fontId="2" fillId="15" borderId="10" xfId="5" applyNumberFormat="1" applyFill="1" applyBorder="1" applyAlignment="1">
      <alignment horizontal="center" vertical="center"/>
    </xf>
    <xf numFmtId="167" fontId="2" fillId="15" borderId="0" xfId="5" applyNumberFormat="1" applyFont="1" applyFill="1" applyBorder="1" applyAlignment="1">
      <alignment horizontal="center" vertical="center"/>
    </xf>
    <xf numFmtId="0" fontId="2" fillId="15" borderId="0" xfId="5" applyNumberFormat="1" applyFill="1" applyBorder="1" applyAlignment="1">
      <alignment horizontal="center" vertical="center"/>
    </xf>
    <xf numFmtId="167" fontId="2" fillId="15" borderId="0" xfId="5" applyNumberFormat="1" applyFill="1" applyBorder="1" applyAlignment="1">
      <alignment vertical="center"/>
    </xf>
    <xf numFmtId="49" fontId="2" fillId="15" borderId="0" xfId="5" applyNumberFormat="1" applyFont="1" applyFill="1" applyBorder="1" applyAlignment="1" applyProtection="1">
      <alignment vertical="center"/>
      <protection locked="0"/>
    </xf>
    <xf numFmtId="0" fontId="2" fillId="15" borderId="3" xfId="5" applyFill="1" applyBorder="1" applyAlignment="1">
      <alignment vertical="center"/>
    </xf>
    <xf numFmtId="0" fontId="2" fillId="15" borderId="1" xfId="5" applyFill="1" applyBorder="1"/>
    <xf numFmtId="49" fontId="10" fillId="15" borderId="2" xfId="5" applyNumberFormat="1" applyFont="1" applyFill="1" applyBorder="1" applyAlignment="1">
      <alignment horizontal="centerContinuous" vertical="top"/>
    </xf>
    <xf numFmtId="0" fontId="2" fillId="15" borderId="2" xfId="5" applyFill="1" applyBorder="1" applyAlignment="1">
      <alignment horizontal="centerContinuous"/>
    </xf>
    <xf numFmtId="49" fontId="2" fillId="15" borderId="2" xfId="5" applyNumberFormat="1" applyFill="1" applyBorder="1" applyAlignment="1">
      <alignment horizontal="centerContinuous"/>
    </xf>
    <xf numFmtId="1" fontId="2" fillId="15" borderId="2" xfId="5" applyNumberFormat="1" applyFill="1" applyBorder="1" applyAlignment="1">
      <alignment horizontal="centerContinuous"/>
    </xf>
    <xf numFmtId="0" fontId="2" fillId="15" borderId="2" xfId="5" applyFill="1" applyBorder="1" applyAlignment="1">
      <alignment horizontal="center"/>
    </xf>
    <xf numFmtId="0" fontId="2" fillId="15" borderId="2" xfId="5" applyFill="1" applyBorder="1"/>
    <xf numFmtId="0" fontId="2" fillId="15" borderId="7" xfId="5" applyFill="1" applyBorder="1"/>
    <xf numFmtId="0" fontId="2" fillId="15" borderId="3" xfId="5" applyFill="1" applyBorder="1"/>
    <xf numFmtId="0" fontId="2" fillId="15" borderId="0" xfId="5" applyFont="1" applyFill="1" applyBorder="1" applyAlignment="1">
      <alignment horizontal="centerContinuous" vertical="center"/>
    </xf>
    <xf numFmtId="0" fontId="2" fillId="15" borderId="0" xfId="5" applyFill="1" applyBorder="1" applyAlignment="1">
      <alignment horizontal="centerContinuous"/>
    </xf>
    <xf numFmtId="0" fontId="1" fillId="15" borderId="0" xfId="5" applyFont="1" applyFill="1" applyBorder="1" applyAlignment="1">
      <alignment horizontal="centerContinuous" vertical="center"/>
    </xf>
    <xf numFmtId="49" fontId="2" fillId="15" borderId="0" xfId="5" applyNumberFormat="1" applyFill="1" applyBorder="1" applyAlignment="1">
      <alignment horizontal="centerContinuous" vertical="center"/>
    </xf>
    <xf numFmtId="0" fontId="2" fillId="15" borderId="0" xfId="5" applyFill="1" applyBorder="1" applyAlignment="1">
      <alignment horizontal="centerContinuous" vertical="center"/>
    </xf>
    <xf numFmtId="1" fontId="2" fillId="15" borderId="0" xfId="5" applyNumberFormat="1" applyFill="1" applyBorder="1" applyAlignment="1">
      <alignment horizontal="centerContinuous" vertical="center"/>
    </xf>
    <xf numFmtId="0" fontId="9" fillId="16" borderId="59" xfId="5" applyFont="1" applyFill="1" applyBorder="1" applyAlignment="1">
      <alignment horizontal="center" vertical="center"/>
    </xf>
    <xf numFmtId="0" fontId="9" fillId="16" borderId="61" xfId="5" applyFont="1" applyFill="1" applyBorder="1" applyAlignment="1">
      <alignment horizontal="center" vertical="center"/>
    </xf>
    <xf numFmtId="49" fontId="9" fillId="16" borderId="59" xfId="5" applyNumberFormat="1" applyFont="1" applyFill="1" applyBorder="1" applyAlignment="1">
      <alignment horizontal="center" vertical="center"/>
    </xf>
    <xf numFmtId="0" fontId="9" fillId="16" borderId="59" xfId="5" applyFont="1" applyFill="1" applyBorder="1" applyAlignment="1">
      <alignment horizontal="centerContinuous" vertical="center"/>
    </xf>
    <xf numFmtId="0" fontId="9" fillId="16" borderId="9" xfId="5" applyFont="1" applyFill="1" applyBorder="1" applyAlignment="1">
      <alignment horizontal="center" vertical="center"/>
    </xf>
    <xf numFmtId="0" fontId="9" fillId="16" borderId="0" xfId="5" applyFont="1" applyFill="1" applyBorder="1" applyAlignment="1">
      <alignment horizontal="center" vertical="center"/>
    </xf>
    <xf numFmtId="0" fontId="9" fillId="16" borderId="10" xfId="5" applyFont="1" applyFill="1" applyBorder="1" applyAlignment="1">
      <alignment horizontal="center" vertical="center"/>
    </xf>
    <xf numFmtId="49" fontId="9" fillId="16" borderId="0" xfId="5" applyNumberFormat="1" applyFont="1" applyFill="1" applyBorder="1" applyAlignment="1">
      <alignment horizontal="center" vertical="center"/>
    </xf>
    <xf numFmtId="0" fontId="2" fillId="14" borderId="0" xfId="5" applyFill="1" applyBorder="1" applyAlignment="1" applyProtection="1">
      <alignment vertical="center"/>
      <protection locked="0"/>
    </xf>
    <xf numFmtId="0" fontId="2" fillId="14" borderId="0" xfId="5" applyFill="1" applyBorder="1"/>
    <xf numFmtId="0" fontId="2" fillId="14" borderId="0" xfId="5" applyFill="1" applyBorder="1" applyAlignment="1">
      <alignment vertical="center"/>
    </xf>
    <xf numFmtId="0" fontId="7" fillId="15" borderId="1" xfId="7" applyFont="1" applyFill="1" applyBorder="1" applyAlignment="1">
      <alignment horizontal="centerContinuous"/>
    </xf>
    <xf numFmtId="0" fontId="25" fillId="15" borderId="2" xfId="7" applyFont="1" applyFill="1" applyBorder="1" applyAlignment="1">
      <alignment horizontal="centerContinuous"/>
    </xf>
    <xf numFmtId="0" fontId="4" fillId="15" borderId="2" xfId="7" applyFont="1" applyFill="1" applyBorder="1" applyAlignment="1">
      <alignment horizontal="centerContinuous"/>
    </xf>
    <xf numFmtId="0" fontId="4" fillId="15" borderId="7" xfId="7" applyFont="1" applyFill="1" applyBorder="1" applyAlignment="1">
      <alignment horizontal="centerContinuous"/>
    </xf>
    <xf numFmtId="0" fontId="4" fillId="15" borderId="3" xfId="7" applyFont="1" applyFill="1" applyBorder="1"/>
    <xf numFmtId="0" fontId="26" fillId="15" borderId="3" xfId="9" applyFont="1" applyFill="1" applyBorder="1"/>
    <xf numFmtId="0" fontId="4" fillId="15" borderId="0" xfId="7" applyFont="1" applyFill="1" applyBorder="1" applyAlignment="1">
      <alignment vertical="top"/>
    </xf>
    <xf numFmtId="0" fontId="4" fillId="15" borderId="8" xfId="7" applyFont="1" applyFill="1" applyBorder="1" applyAlignment="1">
      <alignment vertical="top"/>
    </xf>
    <xf numFmtId="0" fontId="4" fillId="4" borderId="53" xfId="7" applyFont="1" applyFill="1" applyBorder="1" applyProtection="1">
      <protection locked="0"/>
    </xf>
    <xf numFmtId="0" fontId="4" fillId="2" borderId="0" xfId="7" applyFont="1" applyFill="1" applyBorder="1" applyAlignment="1">
      <alignment horizontal="center"/>
    </xf>
    <xf numFmtId="0" fontId="4" fillId="15" borderId="0" xfId="7" applyFont="1" applyFill="1" applyBorder="1" applyAlignment="1">
      <alignment horizontal="center"/>
    </xf>
    <xf numFmtId="0" fontId="4" fillId="3" borderId="4" xfId="7" applyFont="1" applyFill="1" applyBorder="1" applyAlignment="1">
      <alignment horizontal="centerContinuous"/>
    </xf>
    <xf numFmtId="0" fontId="4" fillId="3" borderId="27" xfId="7" applyFont="1" applyFill="1" applyBorder="1" applyAlignment="1">
      <alignment horizontal="centerContinuous"/>
    </xf>
    <xf numFmtId="0" fontId="4" fillId="3" borderId="15" xfId="7" applyFont="1" applyFill="1" applyBorder="1" applyAlignment="1">
      <alignment horizontal="centerContinuous"/>
    </xf>
    <xf numFmtId="0" fontId="4" fillId="15" borderId="8" xfId="7" applyFont="1" applyFill="1" applyBorder="1" applyAlignment="1"/>
    <xf numFmtId="0" fontId="7" fillId="15" borderId="0" xfId="7" applyFont="1" applyFill="1" applyBorder="1" applyAlignment="1">
      <alignment horizontal="left"/>
    </xf>
    <xf numFmtId="0" fontId="4" fillId="3" borderId="19" xfId="7" applyFont="1" applyFill="1" applyBorder="1" applyAlignment="1">
      <alignment horizontal="center"/>
    </xf>
    <xf numFmtId="0" fontId="4" fillId="3" borderId="22" xfId="7" applyFont="1" applyFill="1" applyBorder="1" applyAlignment="1">
      <alignment horizontal="center"/>
    </xf>
    <xf numFmtId="0" fontId="4" fillId="3" borderId="24" xfId="7" applyFont="1" applyFill="1" applyBorder="1" applyAlignment="1">
      <alignment horizontal="center"/>
    </xf>
    <xf numFmtId="0" fontId="4" fillId="15" borderId="8" xfId="7" applyFont="1" applyFill="1" applyBorder="1" applyAlignment="1">
      <alignment horizontal="center"/>
    </xf>
    <xf numFmtId="0" fontId="4" fillId="3" borderId="16" xfId="7" applyFont="1" applyFill="1" applyBorder="1" applyAlignment="1">
      <alignment horizontal="center"/>
    </xf>
    <xf numFmtId="0" fontId="4" fillId="3" borderId="17" xfId="7" applyFont="1" applyFill="1" applyBorder="1" applyAlignment="1">
      <alignment horizontal="center"/>
    </xf>
    <xf numFmtId="0" fontId="4" fillId="3" borderId="18" xfId="7" applyFont="1" applyFill="1" applyBorder="1" applyAlignment="1">
      <alignment horizontal="center"/>
    </xf>
    <xf numFmtId="0" fontId="4" fillId="3" borderId="0" xfId="7" applyFont="1" applyFill="1" applyBorder="1" applyAlignment="1">
      <alignment horizontal="center"/>
    </xf>
    <xf numFmtId="0" fontId="4" fillId="2" borderId="0" xfId="7" applyFont="1" applyFill="1" applyBorder="1" applyAlignment="1">
      <alignment horizontal="left"/>
    </xf>
    <xf numFmtId="0" fontId="4" fillId="15" borderId="8" xfId="7" applyFont="1" applyFill="1" applyBorder="1" applyAlignment="1">
      <alignment horizontal="left"/>
    </xf>
    <xf numFmtId="0" fontId="4" fillId="15" borderId="0" xfId="7" applyFont="1" applyFill="1" applyBorder="1" applyAlignment="1">
      <alignment horizontal="left"/>
    </xf>
    <xf numFmtId="169" fontId="4" fillId="3" borderId="21" xfId="7" applyNumberFormat="1" applyFont="1" applyFill="1" applyBorder="1" applyAlignment="1">
      <alignment horizontal="center" wrapText="1"/>
    </xf>
    <xf numFmtId="169" fontId="4" fillId="3" borderId="25" xfId="7" applyNumberFormat="1" applyFont="1" applyFill="1" applyBorder="1" applyAlignment="1">
      <alignment horizontal="center" wrapText="1"/>
    </xf>
    <xf numFmtId="169" fontId="4" fillId="15" borderId="8" xfId="7" applyNumberFormat="1" applyFont="1" applyFill="1" applyBorder="1" applyAlignment="1">
      <alignment horizontal="center"/>
    </xf>
    <xf numFmtId="0" fontId="4" fillId="15" borderId="4" xfId="7" applyFont="1" applyFill="1" applyBorder="1"/>
    <xf numFmtId="0" fontId="4" fillId="15" borderId="35" xfId="7" applyFont="1" applyFill="1" applyBorder="1" applyAlignment="1">
      <alignment horizontal="left"/>
    </xf>
    <xf numFmtId="0" fontId="4" fillId="3" borderId="19" xfId="7" applyFont="1" applyFill="1" applyBorder="1" applyAlignment="1">
      <alignment horizontal="center" wrapText="1"/>
    </xf>
    <xf numFmtId="0" fontId="4" fillId="3" borderId="24" xfId="7" applyFont="1" applyFill="1" applyBorder="1" applyAlignment="1">
      <alignment horizontal="center" wrapText="1"/>
    </xf>
    <xf numFmtId="0" fontId="4" fillId="15" borderId="8" xfId="7" applyFont="1" applyFill="1" applyBorder="1" applyAlignment="1">
      <alignment horizontal="center" wrapText="1"/>
    </xf>
    <xf numFmtId="170" fontId="7" fillId="4" borderId="33" xfId="7" applyNumberFormat="1" applyFont="1" applyFill="1" applyBorder="1" applyProtection="1">
      <protection locked="0"/>
    </xf>
    <xf numFmtId="1" fontId="4" fillId="3" borderId="20" xfId="7" applyNumberFormat="1" applyFont="1" applyFill="1" applyBorder="1" applyAlignment="1">
      <alignment horizontal="center"/>
    </xf>
    <xf numFmtId="165" fontId="4" fillId="3" borderId="20" xfId="7" applyNumberFormat="1" applyFont="1" applyFill="1" applyBorder="1" applyAlignment="1">
      <alignment horizontal="center"/>
    </xf>
    <xf numFmtId="1" fontId="4" fillId="3" borderId="23" xfId="7" applyNumberFormat="1" applyFont="1" applyFill="1" applyBorder="1" applyAlignment="1">
      <alignment horizontal="center"/>
    </xf>
    <xf numFmtId="1" fontId="4" fillId="15" borderId="8" xfId="7" applyNumberFormat="1" applyFont="1" applyFill="1" applyBorder="1" applyAlignment="1">
      <alignment horizontal="center"/>
    </xf>
    <xf numFmtId="1" fontId="4" fillId="3" borderId="19" xfId="7" applyNumberFormat="1" applyFont="1" applyFill="1" applyBorder="1" applyAlignment="1">
      <alignment horizontal="center"/>
    </xf>
    <xf numFmtId="165" fontId="4" fillId="3" borderId="19" xfId="7" applyNumberFormat="1" applyFont="1" applyFill="1" applyBorder="1" applyAlignment="1">
      <alignment horizontal="center"/>
    </xf>
    <xf numFmtId="1" fontId="4" fillId="3" borderId="24" xfId="7" applyNumberFormat="1" applyFont="1" applyFill="1" applyBorder="1" applyAlignment="1">
      <alignment horizontal="center"/>
    </xf>
    <xf numFmtId="1" fontId="4" fillId="3" borderId="16" xfId="7" applyNumberFormat="1" applyFont="1" applyFill="1" applyBorder="1" applyAlignment="1">
      <alignment horizontal="center"/>
    </xf>
    <xf numFmtId="165" fontId="4" fillId="3" borderId="16" xfId="7" applyNumberFormat="1" applyFont="1" applyFill="1" applyBorder="1" applyAlignment="1">
      <alignment horizontal="center"/>
    </xf>
    <xf numFmtId="1" fontId="4" fillId="3" borderId="18" xfId="7" applyNumberFormat="1" applyFont="1" applyFill="1" applyBorder="1" applyAlignment="1">
      <alignment horizontal="center"/>
    </xf>
    <xf numFmtId="1" fontId="4" fillId="3" borderId="21" xfId="7" applyNumberFormat="1" applyFont="1" applyFill="1" applyBorder="1" applyAlignment="1">
      <alignment horizontal="center"/>
    </xf>
    <xf numFmtId="165" fontId="4" fillId="3" borderId="21" xfId="7" applyNumberFormat="1" applyFont="1" applyFill="1" applyBorder="1" applyAlignment="1">
      <alignment horizontal="center"/>
    </xf>
    <xf numFmtId="1" fontId="4" fillId="3" borderId="25" xfId="7" applyNumberFormat="1" applyFont="1" applyFill="1" applyBorder="1" applyAlignment="1">
      <alignment horizontal="center"/>
    </xf>
    <xf numFmtId="170" fontId="4" fillId="2" borderId="0" xfId="7" applyNumberFormat="1" applyFont="1" applyFill="1" applyBorder="1" applyAlignment="1">
      <alignment horizontal="center" vertical="top"/>
    </xf>
    <xf numFmtId="170" fontId="4" fillId="15" borderId="8" xfId="7" applyNumberFormat="1" applyFont="1" applyFill="1" applyBorder="1" applyAlignment="1">
      <alignment horizontal="center" vertical="top"/>
    </xf>
    <xf numFmtId="1" fontId="4" fillId="3" borderId="65" xfId="7" applyNumberFormat="1" applyFont="1" applyFill="1" applyBorder="1" applyAlignment="1">
      <alignment horizontal="center"/>
    </xf>
    <xf numFmtId="1" fontId="4" fillId="3" borderId="45" xfId="7" applyNumberFormat="1" applyFont="1" applyFill="1" applyBorder="1" applyAlignment="1">
      <alignment horizontal="center"/>
    </xf>
    <xf numFmtId="1" fontId="4" fillId="3" borderId="12" xfId="7" applyNumberFormat="1" applyFont="1" applyFill="1" applyBorder="1" applyAlignment="1">
      <alignment horizontal="center"/>
    </xf>
    <xf numFmtId="165" fontId="4" fillId="3" borderId="12" xfId="7" applyNumberFormat="1" applyFont="1" applyFill="1" applyBorder="1" applyAlignment="1">
      <alignment horizontal="center"/>
    </xf>
    <xf numFmtId="1" fontId="4" fillId="3" borderId="63" xfId="7" applyNumberFormat="1" applyFont="1" applyFill="1" applyBorder="1" applyAlignment="1">
      <alignment horizontal="center"/>
    </xf>
    <xf numFmtId="1" fontId="4" fillId="3" borderId="66" xfId="7" applyNumberFormat="1" applyFont="1" applyFill="1" applyBorder="1" applyAlignment="1">
      <alignment horizontal="center"/>
    </xf>
    <xf numFmtId="1" fontId="4" fillId="3" borderId="67" xfId="7" applyNumberFormat="1" applyFont="1" applyFill="1" applyBorder="1" applyAlignment="1">
      <alignment horizontal="center"/>
    </xf>
    <xf numFmtId="1" fontId="4" fillId="3" borderId="27" xfId="7" applyNumberFormat="1" applyFont="1" applyFill="1" applyBorder="1" applyAlignment="1">
      <alignment horizontal="center"/>
    </xf>
    <xf numFmtId="1" fontId="27" fillId="3" borderId="20" xfId="7" applyNumberFormat="1" applyFont="1" applyFill="1" applyBorder="1" applyAlignment="1">
      <alignment horizontal="center"/>
    </xf>
    <xf numFmtId="165" fontId="27" fillId="3" borderId="20" xfId="7" applyNumberFormat="1" applyFont="1" applyFill="1" applyBorder="1" applyAlignment="1">
      <alignment horizontal="center"/>
    </xf>
    <xf numFmtId="1" fontId="27" fillId="3" borderId="23" xfId="7" applyNumberFormat="1" applyFont="1" applyFill="1" applyBorder="1" applyAlignment="1">
      <alignment horizontal="center"/>
    </xf>
    <xf numFmtId="1" fontId="28" fillId="3" borderId="16" xfId="7" applyNumberFormat="1" applyFont="1" applyFill="1" applyBorder="1" applyAlignment="1">
      <alignment horizontal="center"/>
    </xf>
    <xf numFmtId="2" fontId="28" fillId="3" borderId="16" xfId="7" applyNumberFormat="1" applyFont="1" applyFill="1" applyBorder="1" applyAlignment="1">
      <alignment horizontal="center"/>
    </xf>
    <xf numFmtId="1" fontId="28" fillId="3" borderId="18" xfId="7" applyNumberFormat="1" applyFont="1" applyFill="1" applyBorder="1" applyAlignment="1">
      <alignment horizontal="center"/>
    </xf>
    <xf numFmtId="0" fontId="7" fillId="2" borderId="0" xfId="7" applyFont="1" applyFill="1" applyBorder="1"/>
    <xf numFmtId="165" fontId="7" fillId="2" borderId="0" xfId="7" applyNumberFormat="1" applyFont="1" applyFill="1" applyBorder="1" applyAlignment="1">
      <alignment horizontal="centerContinuous"/>
    </xf>
    <xf numFmtId="0" fontId="7" fillId="2" borderId="0" xfId="7" applyFont="1" applyFill="1" applyBorder="1" applyAlignment="1">
      <alignment horizontal="left"/>
    </xf>
    <xf numFmtId="0" fontId="7" fillId="2" borderId="0" xfId="7" applyFont="1" applyFill="1" applyBorder="1" applyAlignment="1">
      <alignment horizontal="centerContinuous"/>
    </xf>
    <xf numFmtId="168" fontId="4" fillId="15" borderId="8" xfId="7" applyNumberFormat="1" applyFont="1" applyFill="1" applyBorder="1" applyAlignment="1">
      <alignment horizontal="center" vertical="top"/>
    </xf>
    <xf numFmtId="0" fontId="9" fillId="13" borderId="39" xfId="7" applyFont="1" applyFill="1" applyBorder="1" applyAlignment="1">
      <alignment horizontal="center" vertical="top"/>
    </xf>
    <xf numFmtId="0" fontId="9" fillId="13" borderId="40" xfId="7" applyFont="1" applyFill="1" applyBorder="1" applyAlignment="1">
      <alignment horizontal="center" vertical="top" wrapText="1"/>
    </xf>
    <xf numFmtId="0" fontId="9" fillId="13" borderId="41" xfId="7" applyFont="1" applyFill="1" applyBorder="1" applyAlignment="1">
      <alignment horizontal="center" vertical="top"/>
    </xf>
    <xf numFmtId="0" fontId="9" fillId="13" borderId="39" xfId="7" applyFont="1" applyFill="1" applyBorder="1" applyAlignment="1">
      <alignment horizontal="left" vertical="top"/>
    </xf>
    <xf numFmtId="0" fontId="9" fillId="13" borderId="42" xfId="7" applyFont="1" applyFill="1" applyBorder="1" applyAlignment="1">
      <alignment horizontal="center" vertical="top"/>
    </xf>
    <xf numFmtId="0" fontId="9" fillId="13" borderId="43" xfId="7" applyFont="1" applyFill="1" applyBorder="1" applyAlignment="1">
      <alignment horizontal="center" vertical="top"/>
    </xf>
    <xf numFmtId="0" fontId="9" fillId="13" borderId="44" xfId="7" applyFont="1" applyFill="1" applyBorder="1" applyAlignment="1">
      <alignment horizontal="center"/>
    </xf>
    <xf numFmtId="0" fontId="9" fillId="13" borderId="45" xfId="7" applyFont="1" applyFill="1" applyBorder="1" applyAlignment="1">
      <alignment horizontal="center" wrapText="1"/>
    </xf>
    <xf numFmtId="0" fontId="9" fillId="13" borderId="46" xfId="7" applyFont="1" applyFill="1" applyBorder="1" applyAlignment="1">
      <alignment horizontal="center"/>
    </xf>
    <xf numFmtId="0" fontId="9" fillId="13" borderId="45" xfId="7" applyFont="1" applyFill="1" applyBorder="1" applyAlignment="1">
      <alignment horizontal="center"/>
    </xf>
    <xf numFmtId="0" fontId="14" fillId="13" borderId="31" xfId="7" applyFont="1" applyFill="1" applyBorder="1" applyAlignment="1">
      <alignment horizontal="centerContinuous"/>
    </xf>
    <xf numFmtId="0" fontId="9" fillId="13" borderId="4" xfId="7" applyFont="1" applyFill="1" applyBorder="1" applyAlignment="1">
      <alignment horizontal="centerContinuous"/>
    </xf>
    <xf numFmtId="0" fontId="9" fillId="13" borderId="27" xfId="7" applyFont="1" applyFill="1" applyBorder="1" applyAlignment="1">
      <alignment horizontal="centerContinuous"/>
    </xf>
    <xf numFmtId="0" fontId="9" fillId="13" borderId="47" xfId="7" applyFont="1" applyFill="1" applyBorder="1" applyAlignment="1">
      <alignment horizontal="center"/>
    </xf>
    <xf numFmtId="0" fontId="9" fillId="13" borderId="48" xfId="7" applyFont="1" applyFill="1" applyBorder="1" applyAlignment="1">
      <alignment horizontal="center"/>
    </xf>
    <xf numFmtId="0" fontId="9" fillId="13" borderId="49" xfId="7" applyFont="1" applyFill="1" applyBorder="1" applyAlignment="1">
      <alignment horizontal="center"/>
    </xf>
    <xf numFmtId="0" fontId="9" fillId="13" borderId="50" xfId="7" applyFont="1" applyFill="1" applyBorder="1" applyAlignment="1">
      <alignment horizontal="center"/>
    </xf>
    <xf numFmtId="0" fontId="9" fillId="13" borderId="37" xfId="7" applyFont="1" applyFill="1" applyBorder="1" applyAlignment="1">
      <alignment horizontal="center"/>
    </xf>
    <xf numFmtId="0" fontId="9" fillId="13" borderId="19" xfId="7" applyFont="1" applyFill="1" applyBorder="1" applyAlignment="1">
      <alignment horizontal="center"/>
    </xf>
    <xf numFmtId="0" fontId="9" fillId="13" borderId="47" xfId="7" applyFont="1" applyFill="1" applyBorder="1" applyAlignment="1" applyProtection="1">
      <alignment horizontal="center"/>
      <protection locked="0"/>
    </xf>
    <xf numFmtId="1" fontId="9" fillId="13" borderId="48" xfId="7" applyNumberFormat="1" applyFont="1" applyFill="1" applyBorder="1" applyAlignment="1" applyProtection="1">
      <alignment horizontal="center"/>
      <protection locked="0"/>
    </xf>
    <xf numFmtId="0" fontId="9" fillId="13" borderId="25" xfId="7" applyFont="1" applyFill="1" applyBorder="1" applyAlignment="1" applyProtection="1">
      <alignment horizontal="center"/>
      <protection locked="0"/>
    </xf>
    <xf numFmtId="165" fontId="9" fillId="13" borderId="48" xfId="7" applyNumberFormat="1" applyFont="1" applyFill="1" applyBorder="1" applyAlignment="1" applyProtection="1">
      <alignment horizontal="center"/>
      <protection locked="0"/>
    </xf>
    <xf numFmtId="0" fontId="9" fillId="13" borderId="34" xfId="7" applyFont="1" applyFill="1" applyBorder="1" applyAlignment="1">
      <alignment horizontal="center"/>
    </xf>
    <xf numFmtId="0" fontId="9" fillId="13" borderId="16" xfId="7" applyFont="1" applyFill="1" applyBorder="1" applyAlignment="1">
      <alignment horizontal="center"/>
    </xf>
    <xf numFmtId="165" fontId="14" fillId="13" borderId="51" xfId="7" applyNumberFormat="1" applyFont="1" applyFill="1" applyBorder="1" applyAlignment="1">
      <alignment horizontal="center" vertical="center"/>
    </xf>
    <xf numFmtId="165" fontId="9" fillId="13" borderId="32" xfId="7" applyNumberFormat="1" applyFont="1" applyFill="1" applyBorder="1" applyAlignment="1">
      <alignment horizontal="center" vertical="center"/>
    </xf>
    <xf numFmtId="165" fontId="9" fillId="13" borderId="20" xfId="7" applyNumberFormat="1" applyFont="1" applyFill="1" applyBorder="1" applyAlignment="1">
      <alignment horizontal="center" vertical="center"/>
    </xf>
    <xf numFmtId="165" fontId="9" fillId="13" borderId="43" xfId="7" applyNumberFormat="1" applyFont="1" applyFill="1" applyBorder="1" applyAlignment="1">
      <alignment horizontal="center" vertical="center"/>
    </xf>
    <xf numFmtId="0" fontId="29" fillId="15" borderId="0" xfId="7" applyFont="1" applyFill="1" applyBorder="1" applyAlignment="1">
      <alignment horizontal="right"/>
    </xf>
    <xf numFmtId="0" fontId="9" fillId="15" borderId="0" xfId="7" applyFont="1" applyFill="1" applyBorder="1" applyAlignment="1">
      <alignment horizontal="right"/>
    </xf>
    <xf numFmtId="1" fontId="30" fillId="13" borderId="44" xfId="7" applyNumberFormat="1" applyFont="1" applyFill="1" applyBorder="1" applyAlignment="1">
      <alignment horizontal="center"/>
    </xf>
    <xf numFmtId="1" fontId="30" fillId="13" borderId="12" xfId="7" applyNumberFormat="1" applyFont="1" applyFill="1" applyBorder="1" applyAlignment="1">
      <alignment horizontal="center"/>
    </xf>
    <xf numFmtId="1" fontId="30" fillId="13" borderId="46" xfId="7" applyNumberFormat="1" applyFont="1" applyFill="1" applyBorder="1" applyAlignment="1">
      <alignment horizontal="center"/>
    </xf>
    <xf numFmtId="167" fontId="9" fillId="15" borderId="0" xfId="7" applyNumberFormat="1" applyFont="1" applyFill="1" applyBorder="1" applyAlignment="1" applyProtection="1">
      <alignment horizontal="center"/>
      <protection locked="0"/>
    </xf>
    <xf numFmtId="170" fontId="9" fillId="15" borderId="0" xfId="7" applyNumberFormat="1" applyFont="1" applyFill="1" applyBorder="1" applyAlignment="1">
      <alignment horizontal="center"/>
    </xf>
    <xf numFmtId="0" fontId="9" fillId="13" borderId="32" xfId="7" applyFont="1" applyFill="1" applyBorder="1" applyAlignment="1">
      <alignment horizontal="center"/>
    </xf>
    <xf numFmtId="0" fontId="9" fillId="13" borderId="20" xfId="7" applyFont="1" applyFill="1" applyBorder="1" applyAlignment="1">
      <alignment horizontal="center"/>
    </xf>
    <xf numFmtId="0" fontId="9" fillId="13" borderId="43" xfId="7" applyFont="1" applyFill="1" applyBorder="1" applyAlignment="1">
      <alignment horizontal="center"/>
    </xf>
    <xf numFmtId="1" fontId="14" fillId="13" borderId="36" xfId="1" applyNumberFormat="1" applyFont="1" applyFill="1" applyBorder="1" applyAlignment="1">
      <alignment horizontal="center" vertical="center"/>
    </xf>
    <xf numFmtId="1" fontId="14" fillId="13" borderId="21" xfId="1" applyNumberFormat="1" applyFont="1" applyFill="1" applyBorder="1" applyAlignment="1">
      <alignment horizontal="center" vertical="center"/>
    </xf>
    <xf numFmtId="1" fontId="14" fillId="13" borderId="21" xfId="1" quotePrefix="1" applyNumberFormat="1" applyFont="1" applyFill="1" applyBorder="1" applyAlignment="1">
      <alignment horizontal="center" vertical="center"/>
    </xf>
    <xf numFmtId="1" fontId="14" fillId="13" borderId="21" xfId="1" applyNumberFormat="1" applyFont="1" applyFill="1" applyBorder="1" applyAlignment="1">
      <alignment horizontal="center" vertical="center" wrapText="1"/>
    </xf>
    <xf numFmtId="1" fontId="14" fillId="13" borderId="15" xfId="1" applyNumberFormat="1" applyFont="1" applyFill="1" applyBorder="1" applyAlignment="1">
      <alignment horizontal="center" vertical="center" wrapText="1"/>
    </xf>
    <xf numFmtId="0" fontId="9" fillId="13" borderId="31" xfId="7" applyFont="1" applyFill="1" applyBorder="1" applyProtection="1"/>
    <xf numFmtId="0" fontId="9" fillId="13" borderId="31" xfId="7" applyFont="1" applyFill="1" applyBorder="1" applyAlignment="1" applyProtection="1">
      <alignment horizontal="centerContinuous"/>
    </xf>
    <xf numFmtId="0" fontId="9" fillId="13" borderId="4" xfId="7" applyFont="1" applyFill="1" applyBorder="1" applyAlignment="1" applyProtection="1">
      <alignment horizontal="centerContinuous"/>
    </xf>
    <xf numFmtId="0" fontId="9" fillId="13" borderId="15" xfId="7" applyFont="1" applyFill="1" applyBorder="1" applyAlignment="1" applyProtection="1">
      <alignment horizontal="centerContinuous"/>
    </xf>
    <xf numFmtId="0" fontId="14" fillId="13" borderId="51" xfId="7" applyFont="1" applyFill="1" applyBorder="1" applyAlignment="1">
      <alignment horizontal="centerContinuous"/>
    </xf>
    <xf numFmtId="0" fontId="9" fillId="13" borderId="15" xfId="7" applyFont="1" applyFill="1" applyBorder="1" applyAlignment="1">
      <alignment horizontal="centerContinuous"/>
    </xf>
    <xf numFmtId="0" fontId="9" fillId="13" borderId="32" xfId="7" applyFont="1" applyFill="1" applyBorder="1" applyAlignment="1" applyProtection="1">
      <alignment horizontal="center" wrapText="1"/>
    </xf>
    <xf numFmtId="0" fontId="9" fillId="13" borderId="20" xfId="7" applyFont="1" applyFill="1" applyBorder="1" applyAlignment="1" applyProtection="1">
      <alignment horizontal="center" wrapText="1"/>
    </xf>
    <xf numFmtId="0" fontId="9" fillId="13" borderId="23" xfId="7" applyFont="1" applyFill="1" applyBorder="1" applyAlignment="1" applyProtection="1">
      <alignment horizontal="center" wrapText="1"/>
    </xf>
    <xf numFmtId="0" fontId="9" fillId="13" borderId="33" xfId="7" applyFont="1" applyFill="1" applyBorder="1" applyAlignment="1" applyProtection="1">
      <alignment horizontal="center" wrapText="1"/>
    </xf>
    <xf numFmtId="0" fontId="9" fillId="13" borderId="33" xfId="7" applyFont="1" applyFill="1" applyBorder="1" applyAlignment="1">
      <alignment horizontal="center" wrapText="1"/>
    </xf>
    <xf numFmtId="0" fontId="9" fillId="13" borderId="23" xfId="7" applyFont="1" applyFill="1" applyBorder="1" applyAlignment="1">
      <alignment horizontal="center" wrapText="1"/>
    </xf>
    <xf numFmtId="0" fontId="9" fillId="13" borderId="22" xfId="7" applyFont="1" applyFill="1" applyBorder="1" applyAlignment="1">
      <alignment horizontal="center" wrapText="1"/>
    </xf>
    <xf numFmtId="0" fontId="9" fillId="13" borderId="74" xfId="7" applyFont="1" applyFill="1" applyBorder="1" applyAlignment="1">
      <alignment horizontal="center" wrapText="1"/>
    </xf>
    <xf numFmtId="0" fontId="9" fillId="13" borderId="66" xfId="7" applyFont="1" applyFill="1" applyBorder="1" applyAlignment="1">
      <alignment horizontal="center" wrapText="1"/>
    </xf>
    <xf numFmtId="0" fontId="9" fillId="13" borderId="19" xfId="7" applyFont="1" applyFill="1" applyBorder="1" applyAlignment="1">
      <alignment horizontal="center" wrapText="1"/>
    </xf>
    <xf numFmtId="0" fontId="9" fillId="13" borderId="24" xfId="7" applyFont="1" applyFill="1" applyBorder="1" applyAlignment="1">
      <alignment horizontal="center" wrapText="1"/>
    </xf>
    <xf numFmtId="0" fontId="9" fillId="13" borderId="52" xfId="7" applyFont="1" applyFill="1" applyBorder="1"/>
    <xf numFmtId="0" fontId="9" fillId="13" borderId="34" xfId="7" applyFont="1" applyFill="1" applyBorder="1" applyAlignment="1" applyProtection="1">
      <alignment horizontal="center"/>
    </xf>
    <xf numFmtId="0" fontId="9" fillId="13" borderId="68" xfId="7" applyFont="1" applyFill="1" applyBorder="1" applyAlignment="1" applyProtection="1">
      <alignment horizontal="center"/>
    </xf>
    <xf numFmtId="0" fontId="9" fillId="13" borderId="60" xfId="7" applyFont="1" applyFill="1" applyBorder="1" applyAlignment="1" applyProtection="1">
      <alignment horizontal="center"/>
    </xf>
    <xf numFmtId="0" fontId="9" fillId="13" borderId="69" xfId="7" applyFont="1" applyFill="1" applyBorder="1" applyAlignment="1" applyProtection="1">
      <alignment horizontal="center"/>
    </xf>
    <xf numFmtId="0" fontId="9" fillId="13" borderId="16" xfId="7" applyFont="1" applyFill="1" applyBorder="1" applyAlignment="1" applyProtection="1">
      <alignment horizontal="center"/>
    </xf>
    <xf numFmtId="0" fontId="9" fillId="13" borderId="17" xfId="7" applyFont="1" applyFill="1" applyBorder="1" applyAlignment="1" applyProtection="1">
      <alignment horizontal="center"/>
    </xf>
    <xf numFmtId="0" fontId="9" fillId="13" borderId="17" xfId="7" applyFont="1" applyFill="1" applyBorder="1" applyAlignment="1">
      <alignment horizontal="center"/>
    </xf>
    <xf numFmtId="0" fontId="9" fillId="13" borderId="18" xfId="7" applyFont="1" applyFill="1" applyBorder="1" applyAlignment="1">
      <alignment horizontal="center"/>
    </xf>
    <xf numFmtId="0" fontId="9" fillId="13" borderId="71" xfId="7" applyFont="1" applyFill="1" applyBorder="1" applyAlignment="1">
      <alignment horizontal="center"/>
    </xf>
    <xf numFmtId="0" fontId="9" fillId="13" borderId="75" xfId="7" applyFont="1" applyFill="1" applyBorder="1" applyAlignment="1">
      <alignment horizontal="center"/>
    </xf>
    <xf numFmtId="0" fontId="9" fillId="13" borderId="67" xfId="7" applyFont="1" applyFill="1" applyBorder="1" applyAlignment="1">
      <alignment horizontal="center"/>
    </xf>
    <xf numFmtId="170" fontId="9" fillId="16" borderId="33" xfId="7" applyNumberFormat="1" applyFont="1" applyFill="1" applyBorder="1" applyAlignment="1" applyProtection="1">
      <alignment horizontal="left"/>
      <protection locked="0"/>
    </xf>
    <xf numFmtId="165" fontId="9" fillId="16" borderId="76" xfId="7" applyNumberFormat="1" applyFont="1" applyFill="1" applyBorder="1" applyAlignment="1" applyProtection="1">
      <alignment horizontal="center"/>
    </xf>
    <xf numFmtId="165" fontId="9" fillId="16" borderId="32" xfId="7" applyNumberFormat="1" applyFont="1" applyFill="1" applyBorder="1" applyAlignment="1" applyProtection="1">
      <alignment horizontal="center"/>
    </xf>
    <xf numFmtId="165" fontId="9" fillId="16" borderId="20" xfId="7" applyNumberFormat="1" applyFont="1" applyFill="1" applyBorder="1" applyAlignment="1" applyProtection="1">
      <alignment horizontal="center"/>
    </xf>
    <xf numFmtId="165" fontId="9" fillId="16" borderId="23" xfId="7" applyNumberFormat="1" applyFont="1" applyFill="1" applyBorder="1" applyAlignment="1" applyProtection="1">
      <alignment horizontal="center"/>
    </xf>
    <xf numFmtId="0" fontId="9" fillId="16" borderId="65" xfId="7" applyFont="1" applyFill="1" applyBorder="1" applyAlignment="1" applyProtection="1">
      <alignment horizontal="center"/>
    </xf>
    <xf numFmtId="165" fontId="9" fillId="16" borderId="20" xfId="7" applyNumberFormat="1" applyFont="1" applyFill="1" applyBorder="1" applyAlignment="1" applyProtection="1">
      <alignment horizontal="center"/>
      <protection locked="0"/>
    </xf>
    <xf numFmtId="1" fontId="9" fillId="16" borderId="20" xfId="7" applyNumberFormat="1" applyFont="1" applyFill="1" applyBorder="1" applyAlignment="1" applyProtection="1">
      <alignment horizontal="center"/>
      <protection locked="0"/>
    </xf>
    <xf numFmtId="2" fontId="14" fillId="16" borderId="72" xfId="7" applyNumberFormat="1" applyFont="1" applyFill="1" applyBorder="1" applyAlignment="1" applyProtection="1">
      <alignment horizontal="center"/>
    </xf>
    <xf numFmtId="2" fontId="14" fillId="16" borderId="76" xfId="7" applyNumberFormat="1" applyFont="1" applyFill="1" applyBorder="1" applyAlignment="1" applyProtection="1">
      <alignment horizontal="center"/>
    </xf>
    <xf numFmtId="165" fontId="9" fillId="16" borderId="65" xfId="7" applyNumberFormat="1" applyFont="1" applyFill="1" applyBorder="1" applyAlignment="1">
      <alignment horizontal="center"/>
    </xf>
    <xf numFmtId="165" fontId="9" fillId="16" borderId="20" xfId="7" applyNumberFormat="1" applyFont="1" applyFill="1" applyBorder="1" applyAlignment="1">
      <alignment horizontal="center"/>
    </xf>
    <xf numFmtId="165" fontId="9" fillId="16" borderId="23" xfId="7" applyNumberFormat="1" applyFont="1" applyFill="1" applyBorder="1" applyAlignment="1">
      <alignment horizontal="center"/>
    </xf>
    <xf numFmtId="170" fontId="9" fillId="16" borderId="22" xfId="7" applyNumberFormat="1" applyFont="1" applyFill="1" applyBorder="1" applyAlignment="1" applyProtection="1">
      <alignment horizontal="left"/>
      <protection locked="0"/>
    </xf>
    <xf numFmtId="165" fontId="9" fillId="16" borderId="74" xfId="7" applyNumberFormat="1" applyFont="1" applyFill="1" applyBorder="1" applyAlignment="1" applyProtection="1">
      <alignment horizontal="center"/>
    </xf>
    <xf numFmtId="165" fontId="9" fillId="16" borderId="37" xfId="7" applyNumberFormat="1" applyFont="1" applyFill="1" applyBorder="1" applyAlignment="1" applyProtection="1">
      <alignment horizontal="center"/>
    </xf>
    <xf numFmtId="165" fontId="9" fillId="16" borderId="19" xfId="7" applyNumberFormat="1" applyFont="1" applyFill="1" applyBorder="1" applyAlignment="1" applyProtection="1">
      <alignment horizontal="center"/>
    </xf>
    <xf numFmtId="165" fontId="9" fillId="16" borderId="24" xfId="7" applyNumberFormat="1" applyFont="1" applyFill="1" applyBorder="1" applyAlignment="1" applyProtection="1">
      <alignment horizontal="center"/>
    </xf>
    <xf numFmtId="0" fontId="9" fillId="16" borderId="66" xfId="7" applyFont="1" applyFill="1" applyBorder="1" applyAlignment="1" applyProtection="1">
      <alignment horizontal="center"/>
    </xf>
    <xf numFmtId="165" fontId="9" fillId="16" borderId="19" xfId="7" applyNumberFormat="1" applyFont="1" applyFill="1" applyBorder="1" applyAlignment="1" applyProtection="1">
      <alignment horizontal="center"/>
      <protection locked="0"/>
    </xf>
    <xf numFmtId="1" fontId="9" fillId="16" borderId="19" xfId="7" applyNumberFormat="1" applyFont="1" applyFill="1" applyBorder="1" applyAlignment="1" applyProtection="1">
      <alignment horizontal="center"/>
      <protection locked="0"/>
    </xf>
    <xf numFmtId="2" fontId="14" fillId="16" borderId="73" xfId="7" applyNumberFormat="1" applyFont="1" applyFill="1" applyBorder="1" applyAlignment="1" applyProtection="1">
      <alignment horizontal="center"/>
    </xf>
    <xf numFmtId="2" fontId="14" fillId="16" borderId="74" xfId="7" applyNumberFormat="1" applyFont="1" applyFill="1" applyBorder="1" applyAlignment="1" applyProtection="1">
      <alignment horizontal="center"/>
    </xf>
    <xf numFmtId="165" fontId="9" fillId="16" borderId="66" xfId="7" applyNumberFormat="1" applyFont="1" applyFill="1" applyBorder="1" applyAlignment="1">
      <alignment horizontal="center"/>
    </xf>
    <xf numFmtId="165" fontId="9" fillId="16" borderId="19" xfId="7" applyNumberFormat="1" applyFont="1" applyFill="1" applyBorder="1" applyAlignment="1">
      <alignment horizontal="center"/>
    </xf>
    <xf numFmtId="165" fontId="9" fillId="16" borderId="24" xfId="7" applyNumberFormat="1" applyFont="1" applyFill="1" applyBorder="1" applyAlignment="1">
      <alignment horizontal="center"/>
    </xf>
    <xf numFmtId="170" fontId="9" fillId="16" borderId="17" xfId="7" applyNumberFormat="1" applyFont="1" applyFill="1" applyBorder="1" applyAlignment="1" applyProtection="1">
      <alignment horizontal="left"/>
      <protection locked="0"/>
    </xf>
    <xf numFmtId="165" fontId="9" fillId="16" borderId="75" xfId="7" applyNumberFormat="1" applyFont="1" applyFill="1" applyBorder="1" applyAlignment="1" applyProtection="1">
      <alignment horizontal="center"/>
    </xf>
    <xf numFmtId="165" fontId="9" fillId="16" borderId="47" xfId="7" applyNumberFormat="1" applyFont="1" applyFill="1" applyBorder="1" applyAlignment="1" applyProtection="1">
      <alignment horizontal="center"/>
    </xf>
    <xf numFmtId="165" fontId="9" fillId="16" borderId="50" xfId="7" applyNumberFormat="1" applyFont="1" applyFill="1" applyBorder="1" applyAlignment="1" applyProtection="1">
      <alignment horizontal="center"/>
    </xf>
    <xf numFmtId="165" fontId="9" fillId="16" borderId="49" xfId="7" applyNumberFormat="1" applyFont="1" applyFill="1" applyBorder="1" applyAlignment="1" applyProtection="1">
      <alignment horizontal="center"/>
    </xf>
    <xf numFmtId="0" fontId="9" fillId="16" borderId="67" xfId="7" applyFont="1" applyFill="1" applyBorder="1" applyAlignment="1" applyProtection="1">
      <alignment horizontal="center"/>
    </xf>
    <xf numFmtId="165" fontId="9" fillId="16" borderId="16" xfId="7" applyNumberFormat="1" applyFont="1" applyFill="1" applyBorder="1" applyAlignment="1" applyProtection="1">
      <alignment horizontal="center"/>
    </xf>
    <xf numFmtId="165" fontId="9" fillId="16" borderId="16" xfId="7" applyNumberFormat="1" applyFont="1" applyFill="1" applyBorder="1" applyAlignment="1" applyProtection="1">
      <alignment horizontal="center"/>
      <protection locked="0"/>
    </xf>
    <xf numFmtId="1" fontId="9" fillId="16" borderId="16" xfId="7" applyNumberFormat="1" applyFont="1" applyFill="1" applyBorder="1" applyAlignment="1" applyProtection="1">
      <alignment horizontal="center"/>
      <protection locked="0"/>
    </xf>
    <xf numFmtId="2" fontId="14" fillId="16" borderId="71" xfId="7" applyNumberFormat="1" applyFont="1" applyFill="1" applyBorder="1" applyAlignment="1" applyProtection="1">
      <alignment horizontal="center"/>
    </xf>
    <xf numFmtId="2" fontId="14" fillId="16" borderId="75" xfId="7" applyNumberFormat="1" applyFont="1" applyFill="1" applyBorder="1" applyAlignment="1" applyProtection="1">
      <alignment horizontal="center"/>
    </xf>
    <xf numFmtId="165" fontId="9" fillId="16" borderId="16" xfId="7" applyNumberFormat="1" applyFont="1" applyFill="1" applyBorder="1" applyAlignment="1">
      <alignment horizontal="center"/>
    </xf>
    <xf numFmtId="165" fontId="9" fillId="16" borderId="18" xfId="7" applyNumberFormat="1" applyFont="1" applyFill="1" applyBorder="1" applyAlignment="1">
      <alignment horizontal="center"/>
    </xf>
    <xf numFmtId="165" fontId="9" fillId="15" borderId="0" xfId="7" applyNumberFormat="1" applyFont="1" applyFill="1" applyBorder="1" applyAlignment="1" applyProtection="1">
      <alignment horizontal="center"/>
    </xf>
    <xf numFmtId="0" fontId="9" fillId="15" borderId="0" xfId="7" applyFont="1" applyFill="1" applyBorder="1" applyAlignment="1" applyProtection="1">
      <alignment horizontal="center"/>
    </xf>
    <xf numFmtId="0" fontId="9" fillId="2" borderId="0" xfId="7" applyFont="1" applyFill="1" applyBorder="1" applyAlignment="1" applyProtection="1">
      <alignment horizontal="center"/>
    </xf>
    <xf numFmtId="165" fontId="9" fillId="16" borderId="27" xfId="7" applyNumberFormat="1" applyFont="1" applyFill="1" applyBorder="1" applyAlignment="1">
      <alignment horizontal="center"/>
    </xf>
    <xf numFmtId="165" fontId="9" fillId="16" borderId="21" xfId="7" applyNumberFormat="1" applyFont="1" applyFill="1" applyBorder="1" applyAlignment="1">
      <alignment horizontal="center"/>
    </xf>
    <xf numFmtId="165" fontId="9" fillId="16" borderId="25" xfId="7" applyNumberFormat="1" applyFont="1" applyFill="1" applyBorder="1" applyAlignment="1">
      <alignment horizontal="center"/>
    </xf>
    <xf numFmtId="0" fontId="9" fillId="4" borderId="38" xfId="7" applyFont="1" applyFill="1" applyBorder="1"/>
    <xf numFmtId="1" fontId="9" fillId="15" borderId="0" xfId="7" applyNumberFormat="1" applyFont="1" applyFill="1" applyBorder="1" applyAlignment="1" applyProtection="1">
      <alignment horizontal="center"/>
    </xf>
    <xf numFmtId="0" fontId="9" fillId="15" borderId="0" xfId="7" applyFont="1" applyFill="1" applyBorder="1" applyProtection="1"/>
    <xf numFmtId="2" fontId="9" fillId="15" borderId="0" xfId="7" applyNumberFormat="1" applyFont="1" applyFill="1" applyBorder="1" applyAlignment="1" applyProtection="1">
      <alignment horizontal="center"/>
    </xf>
    <xf numFmtId="1" fontId="31" fillId="16" borderId="36" xfId="1" applyNumberFormat="1" applyFont="1" applyFill="1" applyBorder="1" applyAlignment="1">
      <alignment horizontal="center" vertical="center"/>
    </xf>
    <xf numFmtId="1" fontId="31" fillId="16" borderId="21" xfId="1" applyNumberFormat="1" applyFont="1" applyFill="1" applyBorder="1" applyAlignment="1">
      <alignment horizontal="center" vertical="center"/>
    </xf>
    <xf numFmtId="1" fontId="31" fillId="16" borderId="21" xfId="1" quotePrefix="1" applyNumberFormat="1" applyFont="1" applyFill="1" applyBorder="1" applyAlignment="1">
      <alignment horizontal="center" vertical="center"/>
    </xf>
    <xf numFmtId="1" fontId="31" fillId="16" borderId="25" xfId="1" applyNumberFormat="1" applyFont="1" applyFill="1" applyBorder="1" applyAlignment="1">
      <alignment horizontal="center" vertical="center" wrapText="1"/>
    </xf>
    <xf numFmtId="0" fontId="9" fillId="4" borderId="58" xfId="7" applyFont="1" applyFill="1" applyBorder="1"/>
    <xf numFmtId="1" fontId="9" fillId="15" borderId="0" xfId="7" applyNumberFormat="1" applyFont="1" applyFill="1" applyBorder="1"/>
    <xf numFmtId="165" fontId="9" fillId="16" borderId="32" xfId="7" applyNumberFormat="1" applyFont="1" applyFill="1" applyBorder="1" applyAlignment="1">
      <alignment horizontal="center"/>
    </xf>
    <xf numFmtId="165" fontId="9" fillId="16" borderId="37" xfId="7" applyNumberFormat="1" applyFont="1" applyFill="1" applyBorder="1" applyAlignment="1">
      <alignment horizontal="center"/>
    </xf>
    <xf numFmtId="165" fontId="9" fillId="16" borderId="34" xfId="7" applyNumberFormat="1" applyFont="1" applyFill="1" applyBorder="1" applyAlignment="1" applyProtection="1">
      <alignment horizontal="center"/>
    </xf>
    <xf numFmtId="165" fontId="9" fillId="16" borderId="18" xfId="7" applyNumberFormat="1" applyFont="1" applyFill="1" applyBorder="1" applyAlignment="1" applyProtection="1">
      <alignment horizontal="center"/>
    </xf>
    <xf numFmtId="165" fontId="9" fillId="16" borderId="36" xfId="7" applyNumberFormat="1" applyFont="1" applyFill="1" applyBorder="1" applyAlignment="1">
      <alignment horizontal="center"/>
    </xf>
    <xf numFmtId="165" fontId="9" fillId="16" borderId="15" xfId="7" applyNumberFormat="1" applyFont="1" applyFill="1" applyBorder="1" applyAlignment="1">
      <alignment horizontal="center"/>
    </xf>
    <xf numFmtId="0" fontId="9" fillId="15" borderId="0" xfId="7" applyFont="1" applyFill="1" applyBorder="1" applyAlignment="1" applyProtection="1">
      <alignment horizontal="left"/>
    </xf>
    <xf numFmtId="2" fontId="9" fillId="15" borderId="0" xfId="7" applyNumberFormat="1" applyFont="1" applyFill="1" applyBorder="1" applyAlignment="1">
      <alignment horizontal="center"/>
    </xf>
    <xf numFmtId="2" fontId="14" fillId="16" borderId="32" xfId="7" applyNumberFormat="1" applyFont="1" applyFill="1" applyBorder="1" applyAlignment="1" applyProtection="1">
      <alignment horizontal="center"/>
    </xf>
    <xf numFmtId="2" fontId="14" fillId="16" borderId="68" xfId="7" applyNumberFormat="1" applyFont="1" applyFill="1" applyBorder="1" applyAlignment="1" applyProtection="1">
      <alignment horizontal="center"/>
    </xf>
    <xf numFmtId="2" fontId="14" fillId="16" borderId="83" xfId="7" applyNumberFormat="1" applyFont="1" applyFill="1" applyBorder="1" applyAlignment="1" applyProtection="1">
      <alignment horizontal="center"/>
    </xf>
    <xf numFmtId="165" fontId="9" fillId="16" borderId="86" xfId="7" applyNumberFormat="1" applyFont="1" applyFill="1" applyBorder="1" applyAlignment="1">
      <alignment horizontal="center"/>
    </xf>
    <xf numFmtId="165" fontId="9" fillId="16" borderId="60" xfId="7" applyNumberFormat="1" applyFont="1" applyFill="1" applyBorder="1" applyAlignment="1">
      <alignment horizontal="center"/>
    </xf>
    <xf numFmtId="165" fontId="9" fillId="16" borderId="69" xfId="7" applyNumberFormat="1" applyFont="1" applyFill="1" applyBorder="1" applyAlignment="1">
      <alignment horizontal="center"/>
    </xf>
    <xf numFmtId="0" fontId="9" fillId="15" borderId="0" xfId="7" applyFont="1" applyFill="1" applyBorder="1" applyAlignment="1">
      <alignment horizontal="right" vertical="top"/>
    </xf>
    <xf numFmtId="0" fontId="9" fillId="15" borderId="0" xfId="7" applyFont="1" applyFill="1" applyBorder="1" applyAlignment="1" applyProtection="1">
      <alignment horizontal="centerContinuous" vertical="top"/>
    </xf>
    <xf numFmtId="0" fontId="9" fillId="2" borderId="0" xfId="7" applyFont="1" applyFill="1" applyBorder="1" applyAlignment="1" applyProtection="1">
      <alignment horizontal="centerContinuous"/>
    </xf>
    <xf numFmtId="0" fontId="9" fillId="13" borderId="36" xfId="7" applyFont="1" applyFill="1" applyBorder="1" applyAlignment="1">
      <alignment horizontal="center" wrapText="1"/>
    </xf>
    <xf numFmtId="0" fontId="9" fillId="13" borderId="51" xfId="7" applyFont="1" applyFill="1" applyBorder="1" applyAlignment="1">
      <alignment horizontal="center" wrapText="1"/>
    </xf>
    <xf numFmtId="0" fontId="9" fillId="13" borderId="27" xfId="7" applyFont="1" applyFill="1" applyBorder="1" applyAlignment="1">
      <alignment horizontal="center" wrapText="1"/>
    </xf>
    <xf numFmtId="0" fontId="9" fillId="13" borderId="21" xfId="7" applyFont="1" applyFill="1" applyBorder="1" applyAlignment="1">
      <alignment horizontal="center" wrapText="1"/>
    </xf>
    <xf numFmtId="0" fontId="9" fillId="13" borderId="25" xfId="7" applyFont="1" applyFill="1" applyBorder="1" applyAlignment="1">
      <alignment horizontal="center" wrapText="1"/>
    </xf>
    <xf numFmtId="0" fontId="9" fillId="2" borderId="0" xfId="7" applyFont="1" applyFill="1" applyBorder="1" applyProtection="1"/>
    <xf numFmtId="0" fontId="9" fillId="15" borderId="0" xfId="7" applyFont="1" applyFill="1" applyBorder="1" applyAlignment="1" applyProtection="1">
      <alignment horizontal="centerContinuous"/>
    </xf>
    <xf numFmtId="165" fontId="17" fillId="16" borderId="34" xfId="7" applyNumberFormat="1" applyFont="1" applyFill="1" applyBorder="1" applyAlignment="1">
      <alignment horizontal="center"/>
    </xf>
    <xf numFmtId="165" fontId="17" fillId="16" borderId="16" xfId="7" applyNumberFormat="1" applyFont="1" applyFill="1" applyBorder="1" applyAlignment="1">
      <alignment horizontal="center"/>
    </xf>
    <xf numFmtId="165" fontId="17" fillId="16" borderId="18" xfId="7" applyNumberFormat="1" applyFont="1" applyFill="1" applyBorder="1" applyAlignment="1">
      <alignment horizontal="center"/>
    </xf>
    <xf numFmtId="1" fontId="31" fillId="16" borderId="21" xfId="1" applyNumberFormat="1" applyFont="1" applyFill="1" applyBorder="1" applyAlignment="1">
      <alignment horizontal="center" vertical="center" wrapText="1"/>
    </xf>
    <xf numFmtId="1" fontId="31" fillId="16" borderId="15" xfId="1" applyNumberFormat="1" applyFont="1" applyFill="1" applyBorder="1" applyAlignment="1">
      <alignment horizontal="center" vertical="center" wrapText="1"/>
    </xf>
    <xf numFmtId="0" fontId="14" fillId="15" borderId="0" xfId="7" applyFont="1" applyFill="1" applyBorder="1"/>
    <xf numFmtId="0" fontId="14" fillId="15" borderId="0" xfId="7" applyFont="1" applyFill="1" applyBorder="1" applyAlignment="1">
      <alignment horizontal="right"/>
    </xf>
    <xf numFmtId="9" fontId="31" fillId="16" borderId="36" xfId="1" applyNumberFormat="1" applyFont="1" applyFill="1" applyBorder="1" applyAlignment="1">
      <alignment horizontal="center" vertical="center"/>
    </xf>
    <xf numFmtId="9" fontId="31" fillId="16" borderId="27" xfId="1" applyNumberFormat="1" applyFont="1" applyFill="1" applyBorder="1" applyAlignment="1">
      <alignment horizontal="center" vertical="center"/>
    </xf>
    <xf numFmtId="9" fontId="31" fillId="16" borderId="21" xfId="1" applyNumberFormat="1" applyFont="1" applyFill="1" applyBorder="1" applyAlignment="1">
      <alignment horizontal="center" vertical="center"/>
    </xf>
    <xf numFmtId="9" fontId="31" fillId="16" borderId="15" xfId="1" applyNumberFormat="1" applyFont="1" applyFill="1" applyBorder="1" applyAlignment="1">
      <alignment horizontal="center" vertical="center"/>
    </xf>
    <xf numFmtId="0" fontId="9" fillId="16" borderId="30" xfId="5" applyFont="1" applyFill="1" applyBorder="1" applyAlignment="1">
      <alignment vertical="center"/>
    </xf>
    <xf numFmtId="49" fontId="9" fillId="16" borderId="59" xfId="5" applyNumberFormat="1" applyFont="1" applyFill="1" applyBorder="1" applyAlignment="1">
      <alignment vertical="center"/>
    </xf>
    <xf numFmtId="0" fontId="9" fillId="13" borderId="0" xfId="5" applyFont="1" applyFill="1" applyAlignment="1">
      <alignment vertical="center"/>
    </xf>
    <xf numFmtId="0" fontId="34" fillId="13" borderId="0" xfId="6" applyFont="1" applyFill="1" applyBorder="1" applyAlignment="1">
      <alignment vertical="center"/>
    </xf>
    <xf numFmtId="0" fontId="9" fillId="13" borderId="0" xfId="6" applyFont="1" applyFill="1" applyBorder="1" applyAlignment="1">
      <alignment vertical="center"/>
    </xf>
    <xf numFmtId="0" fontId="9" fillId="14" borderId="0" xfId="6" applyFont="1" applyFill="1" applyBorder="1" applyAlignment="1">
      <alignment vertical="center"/>
    </xf>
    <xf numFmtId="0" fontId="9" fillId="14" borderId="0" xfId="5" applyFont="1" applyFill="1" applyBorder="1" applyAlignment="1">
      <alignment vertical="center"/>
    </xf>
    <xf numFmtId="0" fontId="9" fillId="16" borderId="3" xfId="5" applyFont="1" applyFill="1" applyBorder="1" applyAlignment="1">
      <alignment vertical="center"/>
    </xf>
    <xf numFmtId="49" fontId="9" fillId="16" borderId="0" xfId="5" applyNumberFormat="1" applyFont="1" applyFill="1" applyBorder="1" applyAlignment="1">
      <alignment vertical="center"/>
    </xf>
    <xf numFmtId="0" fontId="9" fillId="16" borderId="0" xfId="5" applyFont="1" applyFill="1" applyBorder="1" applyAlignment="1">
      <alignment vertical="center"/>
    </xf>
    <xf numFmtId="0" fontId="9" fillId="13" borderId="0" xfId="5" applyFont="1" applyFill="1" applyBorder="1" applyAlignment="1">
      <alignment vertical="center"/>
    </xf>
    <xf numFmtId="0" fontId="14" fillId="13" borderId="0" xfId="6" applyFont="1" applyFill="1" applyBorder="1" applyAlignment="1">
      <alignment horizontal="centerContinuous" vertical="center"/>
    </xf>
    <xf numFmtId="0" fontId="14" fillId="14" borderId="0" xfId="6" applyFont="1" applyFill="1" applyBorder="1" applyAlignment="1">
      <alignment horizontal="centerContinuous" vertical="center"/>
    </xf>
    <xf numFmtId="0" fontId="14" fillId="16" borderId="9" xfId="5" applyFont="1" applyFill="1" applyBorder="1" applyAlignment="1">
      <alignment horizontal="center" vertical="center"/>
    </xf>
    <xf numFmtId="0" fontId="14" fillId="16" borderId="0" xfId="5" applyFont="1" applyFill="1" applyBorder="1" applyAlignment="1">
      <alignment horizontal="center" vertical="center"/>
    </xf>
    <xf numFmtId="0" fontId="14" fillId="16" borderId="10" xfId="5" applyFont="1" applyFill="1" applyBorder="1" applyAlignment="1">
      <alignment horizontal="center" vertical="center"/>
    </xf>
    <xf numFmtId="49" fontId="14" fillId="16" borderId="0" xfId="5" applyNumberFormat="1" applyFont="1" applyFill="1" applyBorder="1" applyAlignment="1">
      <alignment horizontal="center" vertical="center"/>
    </xf>
    <xf numFmtId="1" fontId="14" fillId="16" borderId="0" xfId="5" applyNumberFormat="1" applyFont="1" applyFill="1" applyBorder="1" applyAlignment="1">
      <alignment horizontal="center" vertical="center"/>
    </xf>
    <xf numFmtId="0" fontId="14" fillId="13" borderId="0" xfId="5" applyFont="1" applyFill="1" applyBorder="1" applyAlignment="1">
      <alignment horizontal="center" vertical="center"/>
    </xf>
    <xf numFmtId="0" fontId="9" fillId="16" borderId="11" xfId="5" applyFont="1" applyFill="1" applyBorder="1" applyAlignment="1">
      <alignment vertical="center"/>
    </xf>
    <xf numFmtId="49" fontId="9" fillId="16" borderId="13" xfId="5" applyNumberFormat="1" applyFont="1" applyFill="1" applyBorder="1" applyAlignment="1">
      <alignment vertical="center"/>
    </xf>
    <xf numFmtId="0" fontId="9" fillId="16" borderId="12" xfId="5" applyFont="1" applyFill="1" applyBorder="1" applyAlignment="1">
      <alignment horizontal="center" vertical="center"/>
    </xf>
    <xf numFmtId="0" fontId="9" fillId="16" borderId="14" xfId="5" applyFont="1" applyFill="1" applyBorder="1" applyAlignment="1">
      <alignment horizontal="centerContinuous" vertical="center"/>
    </xf>
    <xf numFmtId="0" fontId="9" fillId="16" borderId="13" xfId="5" applyFont="1" applyFill="1" applyBorder="1" applyAlignment="1">
      <alignment horizontal="centerContinuous" vertical="center"/>
    </xf>
    <xf numFmtId="49" fontId="9" fillId="16" borderId="13" xfId="5" applyNumberFormat="1" applyFont="1" applyFill="1" applyBorder="1" applyAlignment="1">
      <alignment horizontal="centerContinuous" vertical="center"/>
    </xf>
    <xf numFmtId="1" fontId="9" fillId="16" borderId="13" xfId="5" applyNumberFormat="1" applyFont="1" applyFill="1" applyBorder="1" applyAlignment="1">
      <alignment horizontal="centerContinuous" vertical="center"/>
    </xf>
    <xf numFmtId="0" fontId="9" fillId="16" borderId="12" xfId="5" applyFont="1" applyFill="1" applyBorder="1" applyAlignment="1">
      <alignment horizontal="centerContinuous" vertical="center"/>
    </xf>
    <xf numFmtId="0" fontId="9" fillId="13" borderId="0" xfId="5" applyFont="1" applyFill="1" applyBorder="1" applyAlignment="1">
      <alignment horizontal="centerContinuous" vertical="center"/>
    </xf>
    <xf numFmtId="49" fontId="35" fillId="16" borderId="3" xfId="5" applyNumberFormat="1" applyFont="1" applyFill="1" applyBorder="1" applyAlignment="1">
      <alignment vertical="center"/>
    </xf>
    <xf numFmtId="49" fontId="36" fillId="16" borderId="0" xfId="5" applyNumberFormat="1" applyFont="1" applyFill="1" applyBorder="1" applyAlignment="1">
      <alignment vertical="center"/>
    </xf>
    <xf numFmtId="167" fontId="9" fillId="16" borderId="9" xfId="5" applyNumberFormat="1" applyFont="1" applyFill="1" applyBorder="1" applyAlignment="1">
      <alignment horizontal="center" vertical="center"/>
    </xf>
    <xf numFmtId="167" fontId="9" fillId="16" borderId="0" xfId="5" applyNumberFormat="1" applyFont="1" applyFill="1" applyBorder="1" applyAlignment="1">
      <alignment horizontal="center" vertical="center"/>
    </xf>
    <xf numFmtId="167" fontId="9" fillId="16" borderId="10" xfId="5" applyNumberFormat="1" applyFont="1" applyFill="1" applyBorder="1" applyAlignment="1">
      <alignment horizontal="center" vertical="center"/>
    </xf>
    <xf numFmtId="0" fontId="9" fillId="16" borderId="0" xfId="5" applyNumberFormat="1" applyFont="1" applyFill="1" applyBorder="1" applyAlignment="1">
      <alignment horizontal="center" vertical="center"/>
    </xf>
    <xf numFmtId="167" fontId="9" fillId="16" borderId="0" xfId="5" applyNumberFormat="1" applyFont="1" applyFill="1" applyBorder="1" applyAlignment="1">
      <alignment vertical="center"/>
    </xf>
    <xf numFmtId="0" fontId="9" fillId="16" borderId="0" xfId="5" applyFont="1" applyFill="1" applyAlignment="1">
      <alignment vertical="center"/>
    </xf>
    <xf numFmtId="49" fontId="35" fillId="15" borderId="3" xfId="5" applyNumberFormat="1" applyFont="1" applyFill="1" applyBorder="1" applyAlignment="1">
      <alignment vertical="center"/>
    </xf>
    <xf numFmtId="0" fontId="9" fillId="0" borderId="0" xfId="5" applyFont="1" applyBorder="1" applyAlignment="1">
      <alignment vertical="center"/>
    </xf>
    <xf numFmtId="0" fontId="9" fillId="0" borderId="0" xfId="5" applyFont="1" applyAlignment="1">
      <alignment vertical="center"/>
    </xf>
    <xf numFmtId="0" fontId="9" fillId="15" borderId="3" xfId="5" applyFont="1" applyFill="1" applyBorder="1" applyAlignment="1">
      <alignment vertical="center"/>
    </xf>
    <xf numFmtId="49" fontId="9" fillId="15" borderId="0" xfId="5" applyNumberFormat="1" applyFont="1" applyFill="1" applyBorder="1" applyAlignment="1" applyProtection="1">
      <alignment vertical="center"/>
      <protection locked="0"/>
    </xf>
    <xf numFmtId="165" fontId="9" fillId="0" borderId="0" xfId="5" applyNumberFormat="1" applyFont="1" applyFill="1" applyBorder="1" applyAlignment="1">
      <alignment horizontal="center" vertical="center"/>
    </xf>
    <xf numFmtId="0" fontId="9" fillId="0" borderId="0" xfId="5" applyFont="1" applyAlignment="1" applyProtection="1">
      <alignment vertical="center"/>
      <protection locked="0"/>
    </xf>
    <xf numFmtId="0" fontId="9" fillId="14" borderId="0" xfId="5" applyFont="1" applyFill="1" applyBorder="1" applyAlignment="1" applyProtection="1">
      <alignment vertical="center"/>
      <protection locked="0"/>
    </xf>
    <xf numFmtId="0" fontId="9" fillId="15" borderId="11" xfId="5" applyFont="1" applyFill="1" applyBorder="1" applyAlignment="1">
      <alignment vertical="center"/>
    </xf>
    <xf numFmtId="49" fontId="9" fillId="15" borderId="13" xfId="5" applyNumberFormat="1" applyFont="1" applyFill="1" applyBorder="1" applyAlignment="1" applyProtection="1">
      <alignment vertical="center"/>
      <protection locked="0"/>
    </xf>
    <xf numFmtId="167" fontId="9" fillId="15" borderId="12" xfId="5" applyNumberFormat="1" applyFont="1" applyFill="1" applyBorder="1" applyAlignment="1">
      <alignment horizontal="center" vertical="center"/>
    </xf>
    <xf numFmtId="167" fontId="9" fillId="15" borderId="13" xfId="5" applyNumberFormat="1" applyFont="1" applyFill="1" applyBorder="1" applyAlignment="1">
      <alignment horizontal="center" vertical="center"/>
    </xf>
    <xf numFmtId="167" fontId="9" fillId="15" borderId="14" xfId="5" applyNumberFormat="1" applyFont="1" applyFill="1" applyBorder="1" applyAlignment="1">
      <alignment horizontal="center" vertical="center"/>
    </xf>
    <xf numFmtId="0" fontId="9" fillId="15" borderId="13" xfId="5" applyNumberFormat="1" applyFont="1" applyFill="1" applyBorder="1" applyAlignment="1">
      <alignment horizontal="center" vertical="center"/>
    </xf>
    <xf numFmtId="167" fontId="9" fillId="15" borderId="13" xfId="5" applyNumberFormat="1" applyFont="1" applyFill="1" applyBorder="1" applyAlignment="1">
      <alignment vertical="center"/>
    </xf>
    <xf numFmtId="9" fontId="9" fillId="0" borderId="0" xfId="5" applyNumberFormat="1" applyFont="1" applyAlignment="1">
      <alignment vertical="center"/>
    </xf>
    <xf numFmtId="166" fontId="9" fillId="0" borderId="0" xfId="5" applyNumberFormat="1" applyFont="1" applyAlignment="1">
      <alignment vertical="center"/>
    </xf>
    <xf numFmtId="0" fontId="9" fillId="15" borderId="3" xfId="5" applyFont="1" applyFill="1" applyBorder="1" applyAlignment="1" applyProtection="1">
      <alignment vertical="center"/>
      <protection locked="0"/>
    </xf>
    <xf numFmtId="165" fontId="9" fillId="15" borderId="0" xfId="5" applyNumberFormat="1" applyFont="1" applyFill="1" applyBorder="1" applyAlignment="1" applyProtection="1">
      <alignment horizontal="center" vertical="center"/>
      <protection locked="0"/>
    </xf>
    <xf numFmtId="165" fontId="9" fillId="15" borderId="0"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protection locked="0"/>
    </xf>
    <xf numFmtId="9" fontId="9" fillId="15" borderId="0" xfId="2" applyFont="1" applyFill="1" applyBorder="1" applyAlignment="1" applyProtection="1">
      <alignment horizontal="center" vertical="center"/>
      <protection locked="0"/>
    </xf>
    <xf numFmtId="1" fontId="9" fillId="15" borderId="0" xfId="5" applyNumberFormat="1" applyFont="1" applyFill="1" applyBorder="1" applyAlignment="1" applyProtection="1">
      <alignment horizontal="center" vertical="center"/>
    </xf>
    <xf numFmtId="1" fontId="9" fillId="15" borderId="0" xfId="5" applyNumberFormat="1" applyFont="1" applyFill="1" applyBorder="1" applyAlignment="1" applyProtection="1">
      <alignment horizontal="center" vertical="center"/>
      <protection locked="0"/>
    </xf>
    <xf numFmtId="0" fontId="9" fillId="0" borderId="0" xfId="5" applyFont="1" applyAlignment="1" applyProtection="1">
      <alignment vertical="center"/>
    </xf>
    <xf numFmtId="9" fontId="9" fillId="0" borderId="0" xfId="5" applyNumberFormat="1" applyFont="1" applyAlignment="1" applyProtection="1">
      <alignment vertical="center"/>
      <protection locked="0"/>
    </xf>
    <xf numFmtId="165" fontId="9" fillId="0" borderId="0" xfId="5" applyNumberFormat="1" applyFont="1" applyAlignment="1">
      <alignment vertical="center"/>
    </xf>
    <xf numFmtId="1" fontId="9" fillId="0" borderId="0" xfId="5" applyNumberFormat="1" applyFont="1" applyAlignment="1">
      <alignment vertical="center"/>
    </xf>
    <xf numFmtId="0" fontId="9" fillId="15" borderId="0" xfId="0" applyFont="1" applyFill="1" applyBorder="1"/>
    <xf numFmtId="0" fontId="9" fillId="18" borderId="0" xfId="7" applyFont="1" applyFill="1"/>
    <xf numFmtId="0" fontId="9" fillId="18" borderId="0" xfId="7" applyFont="1" applyFill="1" applyAlignment="1">
      <alignment vertical="top"/>
    </xf>
    <xf numFmtId="0" fontId="9" fillId="18" borderId="0" xfId="7" applyFont="1" applyFill="1" applyAlignment="1">
      <alignment horizontal="center"/>
    </xf>
    <xf numFmtId="0" fontId="9" fillId="15" borderId="0"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165" fontId="9" fillId="15" borderId="0" xfId="1" applyNumberFormat="1" applyFont="1" applyFill="1" applyBorder="1" applyAlignment="1" applyProtection="1">
      <alignment horizontal="center" vertical="center"/>
      <protection locked="0"/>
    </xf>
    <xf numFmtId="9" fontId="9" fillId="15" borderId="0" xfId="5" applyNumberFormat="1" applyFont="1" applyFill="1" applyBorder="1" applyAlignment="1" applyProtection="1">
      <alignment horizontal="center" vertical="center"/>
      <protection locked="0"/>
    </xf>
    <xf numFmtId="49" fontId="9" fillId="15" borderId="0" xfId="5" applyNumberFormat="1" applyFont="1" applyFill="1" applyBorder="1" applyAlignment="1" applyProtection="1">
      <alignment vertical="center"/>
    </xf>
    <xf numFmtId="1" fontId="9" fillId="15" borderId="9"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xf>
    <xf numFmtId="9" fontId="9" fillId="15" borderId="0" xfId="5" applyNumberFormat="1" applyFont="1" applyFill="1" applyBorder="1" applyAlignment="1" applyProtection="1">
      <alignment horizontal="center" vertical="center"/>
    </xf>
    <xf numFmtId="167" fontId="9" fillId="15" borderId="12"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horizontal="center" vertical="center"/>
    </xf>
    <xf numFmtId="167" fontId="9" fillId="15" borderId="14" xfId="5" applyNumberFormat="1" applyFont="1" applyFill="1" applyBorder="1" applyAlignment="1" applyProtection="1">
      <alignment horizontal="center" vertical="center"/>
    </xf>
    <xf numFmtId="0" fontId="9" fillId="15" borderId="13"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vertical="center"/>
    </xf>
    <xf numFmtId="167" fontId="14" fillId="9" borderId="3" xfId="0" applyNumberFormat="1" applyFont="1" applyFill="1" applyBorder="1" applyAlignment="1" applyProtection="1">
      <alignment horizontal="left" vertical="top" indent="1"/>
      <protection hidden="1"/>
    </xf>
    <xf numFmtId="167" fontId="14" fillId="9" borderId="0" xfId="0" applyNumberFormat="1" applyFont="1" applyFill="1" applyBorder="1" applyAlignment="1" applyProtection="1">
      <alignment horizontal="left" vertical="top" indent="1"/>
      <protection hidden="1"/>
    </xf>
    <xf numFmtId="0" fontId="9" fillId="9" borderId="0" xfId="0" applyNumberFormat="1" applyFont="1" applyFill="1" applyBorder="1" applyAlignment="1" applyProtection="1">
      <alignment horizontal="left" vertical="center" indent="1"/>
      <protection hidden="1"/>
    </xf>
    <xf numFmtId="0" fontId="9" fillId="7" borderId="59" xfId="0" applyFont="1" applyFill="1" applyBorder="1" applyAlignment="1">
      <alignment horizontal="center" vertical="center" wrapText="1"/>
    </xf>
    <xf numFmtId="49" fontId="14" fillId="0" borderId="34" xfId="0" applyNumberFormat="1" applyFont="1" applyFill="1" applyBorder="1" applyAlignment="1" applyProtection="1">
      <alignment horizontal="center" vertical="center" wrapText="1"/>
      <protection locked="0"/>
    </xf>
    <xf numFmtId="165" fontId="9" fillId="7" borderId="76" xfId="7" applyNumberFormat="1" applyFont="1" applyFill="1" applyBorder="1" applyAlignment="1" applyProtection="1">
      <alignment horizontal="center"/>
    </xf>
    <xf numFmtId="165" fontId="9" fillId="7" borderId="32" xfId="7" applyNumberFormat="1" applyFont="1" applyFill="1" applyBorder="1" applyAlignment="1" applyProtection="1">
      <alignment horizontal="center"/>
    </xf>
    <xf numFmtId="168" fontId="14" fillId="0" borderId="12" xfId="2" applyNumberFormat="1" applyFont="1" applyFill="1" applyBorder="1" applyAlignment="1" applyProtection="1">
      <alignment horizontal="center"/>
      <protection locked="0"/>
    </xf>
    <xf numFmtId="168" fontId="14" fillId="0" borderId="110" xfId="2" applyNumberFormat="1" applyFont="1" applyFill="1" applyBorder="1" applyAlignment="1" applyProtection="1">
      <alignment horizontal="center"/>
      <protection locked="0"/>
    </xf>
    <xf numFmtId="168" fontId="14" fillId="0" borderId="37" xfId="2" applyNumberFormat="1" applyFont="1" applyFill="1" applyBorder="1" applyAlignment="1" applyProtection="1">
      <alignment horizontal="center"/>
      <protection locked="0"/>
    </xf>
    <xf numFmtId="0" fontId="14" fillId="16" borderId="114" xfId="0" applyFont="1" applyFill="1" applyBorder="1" applyAlignment="1">
      <alignment horizontal="center"/>
    </xf>
    <xf numFmtId="0" fontId="9" fillId="16" borderId="9" xfId="0" applyFont="1" applyFill="1" applyBorder="1"/>
    <xf numFmtId="0" fontId="14" fillId="16" borderId="9" xfId="0" applyFont="1" applyFill="1" applyBorder="1" applyAlignment="1">
      <alignment horizontal="center"/>
    </xf>
    <xf numFmtId="2" fontId="14" fillId="16" borderId="9" xfId="0" applyNumberFormat="1" applyFont="1" applyFill="1" applyBorder="1" applyAlignment="1">
      <alignment horizontal="center"/>
    </xf>
    <xf numFmtId="1" fontId="14" fillId="16" borderId="9" xfId="0" applyNumberFormat="1" applyFont="1" applyFill="1" applyBorder="1" applyAlignment="1">
      <alignment horizontal="center"/>
    </xf>
    <xf numFmtId="0" fontId="9" fillId="16" borderId="9" xfId="0" applyFont="1" applyFill="1" applyBorder="1" applyAlignment="1">
      <alignment horizontal="center"/>
    </xf>
    <xf numFmtId="165" fontId="9" fillId="16" borderId="9" xfId="0" applyNumberFormat="1" applyFont="1" applyFill="1" applyBorder="1" applyAlignment="1">
      <alignment horizontal="center"/>
    </xf>
    <xf numFmtId="1" fontId="9" fillId="16" borderId="9" xfId="0" applyNumberFormat="1" applyFont="1" applyFill="1" applyBorder="1" applyAlignment="1">
      <alignment horizontal="center"/>
    </xf>
    <xf numFmtId="9" fontId="9" fillId="16" borderId="9" xfId="0" applyNumberFormat="1" applyFont="1" applyFill="1" applyBorder="1" applyAlignment="1">
      <alignment horizontal="center"/>
    </xf>
    <xf numFmtId="0" fontId="9" fillId="16" borderId="12" xfId="0" applyFont="1" applyFill="1" applyBorder="1" applyAlignment="1">
      <alignment horizontal="center"/>
    </xf>
    <xf numFmtId="165" fontId="9" fillId="16" borderId="12" xfId="0" applyNumberFormat="1" applyFont="1" applyFill="1" applyBorder="1" applyAlignment="1">
      <alignment horizontal="center"/>
    </xf>
    <xf numFmtId="0" fontId="0" fillId="15" borderId="1" xfId="0" applyFill="1" applyBorder="1"/>
    <xf numFmtId="0" fontId="0" fillId="15" borderId="3" xfId="0" applyFill="1" applyBorder="1"/>
    <xf numFmtId="0" fontId="9" fillId="15" borderId="2" xfId="0" applyFont="1" applyFill="1" applyBorder="1"/>
    <xf numFmtId="0" fontId="0" fillId="15" borderId="2" xfId="0" applyFill="1" applyBorder="1" applyAlignment="1">
      <alignment horizontal="center"/>
    </xf>
    <xf numFmtId="0" fontId="0" fillId="15" borderId="7" xfId="0" applyFill="1" applyBorder="1"/>
    <xf numFmtId="0" fontId="0" fillId="15" borderId="8" xfId="0" applyFill="1" applyBorder="1"/>
    <xf numFmtId="0" fontId="0" fillId="15" borderId="0" xfId="0" applyFill="1" applyBorder="1" applyAlignment="1">
      <alignment horizontal="center"/>
    </xf>
    <xf numFmtId="0" fontId="9" fillId="15" borderId="0" xfId="0" applyFont="1" applyFill="1"/>
    <xf numFmtId="0" fontId="0" fillId="15" borderId="0" xfId="0" applyFill="1" applyAlignment="1">
      <alignment horizontal="center"/>
    </xf>
    <xf numFmtId="0" fontId="14" fillId="19" borderId="13" xfId="0" applyFont="1" applyFill="1" applyBorder="1" applyAlignment="1">
      <alignment horizontal="right"/>
    </xf>
    <xf numFmtId="0" fontId="9" fillId="7" borderId="13" xfId="0" applyFont="1" applyFill="1" applyBorder="1" applyAlignment="1">
      <alignment horizontal="center"/>
    </xf>
    <xf numFmtId="168" fontId="14" fillId="7" borderId="13" xfId="0" applyNumberFormat="1" applyFont="1" applyFill="1" applyBorder="1" applyAlignment="1">
      <alignment horizontal="center"/>
    </xf>
    <xf numFmtId="168" fontId="14" fillId="7" borderId="45" xfId="0" applyNumberFormat="1" applyFont="1" applyFill="1" applyBorder="1" applyAlignment="1">
      <alignment horizontal="center"/>
    </xf>
    <xf numFmtId="167" fontId="9" fillId="9" borderId="0" xfId="0" applyNumberFormat="1" applyFont="1" applyFill="1"/>
    <xf numFmtId="0" fontId="9" fillId="9" borderId="0" xfId="0" applyFont="1" applyFill="1"/>
    <xf numFmtId="0" fontId="9" fillId="9" borderId="0" xfId="0" applyFont="1" applyFill="1" applyAlignment="1">
      <alignment horizontal="center"/>
    </xf>
    <xf numFmtId="0" fontId="9" fillId="9" borderId="0" xfId="0" applyFont="1" applyFill="1" applyProtection="1"/>
    <xf numFmtId="0" fontId="9" fillId="7" borderId="4" xfId="0" applyFont="1" applyFill="1" applyBorder="1" applyAlignment="1">
      <alignment horizontal="center" vertical="center" wrapText="1"/>
    </xf>
    <xf numFmtId="49" fontId="14" fillId="0" borderId="36" xfId="0" applyNumberFormat="1" applyFont="1" applyFill="1" applyBorder="1" applyAlignment="1" applyProtection="1">
      <alignment horizontal="center" vertical="center" wrapText="1"/>
      <protection locked="0"/>
    </xf>
    <xf numFmtId="49" fontId="14" fillId="0" borderId="31" xfId="0" applyNumberFormat="1" applyFont="1" applyFill="1" applyBorder="1" applyAlignment="1" applyProtection="1">
      <alignment horizontal="center" vertical="center" wrapText="1"/>
      <protection locked="0"/>
    </xf>
    <xf numFmtId="49" fontId="14" fillId="0" borderId="51" xfId="0" applyNumberFormat="1" applyFont="1" applyFill="1" applyBorder="1" applyAlignment="1" applyProtection="1">
      <alignment horizontal="center" vertical="center" wrapText="1"/>
      <protection locked="0"/>
    </xf>
    <xf numFmtId="49" fontId="14" fillId="0" borderId="97" xfId="0" applyNumberFormat="1" applyFont="1" applyFill="1" applyBorder="1" applyAlignment="1" applyProtection="1">
      <alignment horizontal="center" vertical="center" wrapText="1"/>
    </xf>
    <xf numFmtId="49" fontId="14" fillId="0" borderId="99" xfId="0" applyNumberFormat="1" applyFont="1" applyFill="1" applyBorder="1" applyAlignment="1" applyProtection="1">
      <alignment horizontal="center" vertical="center" wrapText="1"/>
    </xf>
    <xf numFmtId="49" fontId="14" fillId="0" borderId="100" xfId="0" applyNumberFormat="1" applyFont="1" applyFill="1" applyBorder="1" applyAlignment="1" applyProtection="1">
      <alignment horizontal="center" vertical="center" wrapText="1"/>
    </xf>
    <xf numFmtId="0" fontId="9" fillId="9" borderId="2" xfId="0" applyFont="1" applyFill="1" applyBorder="1" applyAlignment="1" applyProtection="1">
      <alignment vertical="center"/>
    </xf>
    <xf numFmtId="0" fontId="9" fillId="7" borderId="70" xfId="0" applyFont="1" applyFill="1" applyBorder="1" applyAlignment="1">
      <alignment horizontal="center" vertical="center" wrapText="1"/>
    </xf>
    <xf numFmtId="49" fontId="14" fillId="11" borderId="39" xfId="0" applyNumberFormat="1" applyFont="1" applyFill="1" applyBorder="1" applyAlignment="1" applyProtection="1">
      <alignment horizontal="center" vertical="center" wrapText="1"/>
      <protection locked="0"/>
    </xf>
    <xf numFmtId="49" fontId="14" fillId="11" borderId="40" xfId="0" applyNumberFormat="1" applyFont="1" applyFill="1" applyBorder="1" applyAlignment="1" applyProtection="1">
      <alignment horizontal="center" vertical="center" wrapText="1"/>
      <protection locked="0"/>
    </xf>
    <xf numFmtId="49" fontId="14" fillId="11" borderId="70" xfId="0" applyNumberFormat="1" applyFont="1" applyFill="1" applyBorder="1" applyAlignment="1" applyProtection="1">
      <alignment horizontal="center" vertical="center" wrapText="1"/>
      <protection locked="0"/>
    </xf>
    <xf numFmtId="49" fontId="14" fillId="11" borderId="38" xfId="0" applyNumberFormat="1" applyFont="1" applyFill="1" applyBorder="1" applyAlignment="1" applyProtection="1">
      <alignment horizontal="center" vertical="center" wrapText="1"/>
      <protection locked="0"/>
    </xf>
    <xf numFmtId="0" fontId="9" fillId="9" borderId="0" xfId="0" applyFont="1" applyFill="1" applyBorder="1" applyAlignment="1" applyProtection="1">
      <alignment vertical="center"/>
    </xf>
    <xf numFmtId="167" fontId="9" fillId="9" borderId="0" xfId="0" applyNumberFormat="1" applyFont="1" applyFill="1" applyProtection="1">
      <protection locked="0"/>
    </xf>
    <xf numFmtId="0" fontId="9" fillId="10" borderId="78" xfId="7" applyFont="1" applyFill="1" applyBorder="1" applyAlignment="1" applyProtection="1">
      <alignment horizontal="left" vertical="center"/>
    </xf>
    <xf numFmtId="165" fontId="9" fillId="9" borderId="74" xfId="7" applyNumberFormat="1" applyFont="1" applyFill="1" applyBorder="1" applyAlignment="1" applyProtection="1">
      <alignment horizontal="center" vertical="center"/>
    </xf>
    <xf numFmtId="165" fontId="9" fillId="9" borderId="37" xfId="7" applyNumberFormat="1" applyFont="1" applyFill="1" applyBorder="1" applyAlignment="1" applyProtection="1">
      <alignment horizontal="center" vertical="center"/>
    </xf>
    <xf numFmtId="1" fontId="9" fillId="9" borderId="37" xfId="7" applyNumberFormat="1" applyFont="1" applyFill="1" applyBorder="1" applyAlignment="1" applyProtection="1">
      <alignment horizontal="center" vertical="center"/>
    </xf>
    <xf numFmtId="173" fontId="14" fillId="0" borderId="37" xfId="2" applyNumberFormat="1" applyFont="1" applyFill="1" applyBorder="1" applyAlignment="1" applyProtection="1">
      <alignment horizontal="center" vertical="center"/>
      <protection locked="0"/>
    </xf>
    <xf numFmtId="173" fontId="14" fillId="0" borderId="19" xfId="2" applyNumberFormat="1" applyFont="1" applyFill="1" applyBorder="1" applyAlignment="1" applyProtection="1">
      <alignment horizontal="center" vertical="center"/>
      <protection locked="0"/>
    </xf>
    <xf numFmtId="173" fontId="14" fillId="0" borderId="22" xfId="2" applyNumberFormat="1" applyFont="1" applyFill="1" applyBorder="1" applyAlignment="1" applyProtection="1">
      <alignment horizontal="center" vertical="center"/>
      <protection locked="0"/>
    </xf>
    <xf numFmtId="173" fontId="14" fillId="0" borderId="74" xfId="2" applyNumberFormat="1" applyFont="1" applyFill="1" applyBorder="1" applyAlignment="1" applyProtection="1">
      <alignment horizontal="center" vertical="center"/>
      <protection locked="0"/>
    </xf>
    <xf numFmtId="172" fontId="14" fillId="9" borderId="11" xfId="2" applyNumberFormat="1" applyFont="1" applyFill="1" applyBorder="1" applyAlignment="1" applyProtection="1">
      <alignment horizontal="left" vertical="center"/>
    </xf>
    <xf numFmtId="173" fontId="14" fillId="9" borderId="12" xfId="2" applyNumberFormat="1" applyFont="1" applyFill="1" applyBorder="1" applyAlignment="1" applyProtection="1">
      <alignment horizontal="center" vertical="center"/>
    </xf>
    <xf numFmtId="172" fontId="14" fillId="9" borderId="44" xfId="2" applyNumberFormat="1" applyFont="1" applyFill="1" applyBorder="1" applyAlignment="1" applyProtection="1">
      <alignment horizontal="center" vertical="center"/>
    </xf>
    <xf numFmtId="172" fontId="14" fillId="9" borderId="12" xfId="2" applyNumberFormat="1" applyFont="1" applyFill="1" applyBorder="1" applyAlignment="1" applyProtection="1">
      <alignment horizontal="center" vertical="center"/>
    </xf>
    <xf numFmtId="172" fontId="14" fillId="9" borderId="14" xfId="2" applyNumberFormat="1" applyFont="1" applyFill="1" applyBorder="1" applyAlignment="1" applyProtection="1">
      <alignment horizontal="center" vertical="center"/>
    </xf>
    <xf numFmtId="172" fontId="14" fillId="9" borderId="92" xfId="2" applyNumberFormat="1" applyFont="1" applyFill="1" applyBorder="1" applyAlignment="1" applyProtection="1">
      <alignment horizontal="center" vertical="center"/>
    </xf>
    <xf numFmtId="170" fontId="9" fillId="10" borderId="73" xfId="7" applyNumberFormat="1" applyFont="1" applyFill="1" applyBorder="1" applyAlignment="1" applyProtection="1">
      <alignment horizontal="left" vertical="center"/>
    </xf>
    <xf numFmtId="165" fontId="9" fillId="9" borderId="76" xfId="7" applyNumberFormat="1" applyFont="1" applyFill="1" applyBorder="1" applyAlignment="1" applyProtection="1">
      <alignment horizontal="center" vertical="center"/>
    </xf>
    <xf numFmtId="165" fontId="9" fillId="9" borderId="32" xfId="7" applyNumberFormat="1" applyFont="1" applyFill="1" applyBorder="1" applyAlignment="1" applyProtection="1">
      <alignment horizontal="center" vertical="center"/>
    </xf>
    <xf numFmtId="1" fontId="9" fillId="9" borderId="32" xfId="7" applyNumberFormat="1" applyFont="1" applyFill="1" applyBorder="1" applyAlignment="1" applyProtection="1">
      <alignment horizontal="center" vertical="center"/>
    </xf>
    <xf numFmtId="172" fontId="14" fillId="9" borderId="85" xfId="2" applyNumberFormat="1" applyFont="1" applyFill="1" applyBorder="1" applyAlignment="1" applyProtection="1">
      <alignment horizontal="left" vertical="center"/>
    </xf>
    <xf numFmtId="172" fontId="14" fillId="9" borderId="37" xfId="2" applyNumberFormat="1" applyFont="1" applyFill="1" applyBorder="1" applyAlignment="1" applyProtection="1">
      <alignment horizontal="center" vertical="center"/>
    </xf>
    <xf numFmtId="172" fontId="14" fillId="9" borderId="19" xfId="2" applyNumberFormat="1" applyFont="1" applyFill="1" applyBorder="1" applyAlignment="1" applyProtection="1">
      <alignment horizontal="center" vertical="center"/>
    </xf>
    <xf numFmtId="172" fontId="14" fillId="9" borderId="22" xfId="2" applyNumberFormat="1" applyFont="1" applyFill="1" applyBorder="1" applyAlignment="1" applyProtection="1">
      <alignment horizontal="center" vertical="center"/>
    </xf>
    <xf numFmtId="172" fontId="14" fillId="9" borderId="93" xfId="2" applyNumberFormat="1" applyFont="1" applyFill="1" applyBorder="1" applyAlignment="1" applyProtection="1">
      <alignment horizontal="center" vertical="center"/>
    </xf>
    <xf numFmtId="173" fontId="14" fillId="0" borderId="84" xfId="2" applyNumberFormat="1" applyFont="1" applyFill="1" applyBorder="1" applyAlignment="1" applyProtection="1">
      <alignment horizontal="center" vertical="center"/>
      <protection locked="0"/>
    </xf>
    <xf numFmtId="170" fontId="9" fillId="9" borderId="73" xfId="7" applyNumberFormat="1" applyFont="1" applyFill="1" applyBorder="1" applyAlignment="1" applyProtection="1">
      <alignment horizontal="left" vertical="center"/>
    </xf>
    <xf numFmtId="0" fontId="9" fillId="9" borderId="78" xfId="7" applyFont="1" applyFill="1" applyBorder="1" applyAlignment="1" applyProtection="1">
      <alignment horizontal="left" vertical="center"/>
    </xf>
    <xf numFmtId="173" fontId="9" fillId="9" borderId="0" xfId="0" applyNumberFormat="1" applyFont="1" applyFill="1" applyBorder="1" applyAlignment="1" applyProtection="1">
      <alignment vertical="center"/>
    </xf>
    <xf numFmtId="170" fontId="14" fillId="9" borderId="71" xfId="7" applyNumberFormat="1" applyFont="1" applyFill="1" applyBorder="1" applyAlignment="1" applyProtection="1">
      <alignment horizontal="left" vertical="center"/>
    </xf>
    <xf numFmtId="0" fontId="9" fillId="9" borderId="79" xfId="7" applyFont="1" applyFill="1" applyBorder="1" applyAlignment="1" applyProtection="1">
      <alignment horizontal="left" vertical="center"/>
    </xf>
    <xf numFmtId="165" fontId="9" fillId="9" borderId="51" xfId="7" applyNumberFormat="1" applyFont="1" applyFill="1" applyBorder="1" applyAlignment="1" applyProtection="1">
      <alignment horizontal="center" vertical="center"/>
    </xf>
    <xf numFmtId="165" fontId="9" fillId="9" borderId="36" xfId="7" applyNumberFormat="1" applyFont="1" applyFill="1" applyBorder="1" applyAlignment="1" applyProtection="1">
      <alignment horizontal="center" vertical="center"/>
    </xf>
    <xf numFmtId="1" fontId="9" fillId="9" borderId="36" xfId="7" applyNumberFormat="1" applyFont="1" applyFill="1" applyBorder="1" applyAlignment="1" applyProtection="1">
      <alignment horizontal="center" vertical="center"/>
    </xf>
    <xf numFmtId="173" fontId="14" fillId="0" borderId="34" xfId="2" applyNumberFormat="1" applyFont="1" applyFill="1" applyBorder="1" applyAlignment="1" applyProtection="1">
      <alignment horizontal="center" vertical="center"/>
      <protection locked="0"/>
    </xf>
    <xf numFmtId="173" fontId="14" fillId="0" borderId="16" xfId="2" applyNumberFormat="1" applyFont="1" applyFill="1" applyBorder="1" applyAlignment="1" applyProtection="1">
      <alignment horizontal="center" vertical="center"/>
      <protection locked="0"/>
    </xf>
    <xf numFmtId="173" fontId="14" fillId="0" borderId="17" xfId="2" applyNumberFormat="1" applyFont="1" applyFill="1" applyBorder="1" applyAlignment="1" applyProtection="1">
      <alignment horizontal="center" vertical="center"/>
      <protection locked="0"/>
    </xf>
    <xf numFmtId="173" fontId="14" fillId="0" borderId="58" xfId="2" applyNumberFormat="1" applyFont="1" applyFill="1" applyBorder="1" applyAlignment="1" applyProtection="1">
      <alignment horizontal="center" vertical="center"/>
      <protection locked="0"/>
    </xf>
    <xf numFmtId="172" fontId="14" fillId="9" borderId="30" xfId="2" applyNumberFormat="1" applyFont="1" applyFill="1" applyBorder="1" applyAlignment="1" applyProtection="1">
      <alignment horizontal="left" vertical="center"/>
    </xf>
    <xf numFmtId="173" fontId="14" fillId="9" borderId="50" xfId="2" applyNumberFormat="1" applyFont="1" applyFill="1" applyBorder="1" applyAlignment="1" applyProtection="1">
      <alignment horizontal="center" vertical="center"/>
    </xf>
    <xf numFmtId="172" fontId="14" fillId="9" borderId="68" xfId="2" applyNumberFormat="1" applyFont="1" applyFill="1" applyBorder="1" applyAlignment="1" applyProtection="1">
      <alignment horizontal="center" vertical="center"/>
    </xf>
    <xf numFmtId="172" fontId="14" fillId="9" borderId="60" xfId="2" applyNumberFormat="1" applyFont="1" applyFill="1" applyBorder="1" applyAlignment="1" applyProtection="1">
      <alignment horizontal="center" vertical="center"/>
    </xf>
    <xf numFmtId="172" fontId="14" fillId="9" borderId="61" xfId="2" applyNumberFormat="1" applyFont="1" applyFill="1" applyBorder="1" applyAlignment="1" applyProtection="1">
      <alignment horizontal="center" vertical="center"/>
    </xf>
    <xf numFmtId="172" fontId="14" fillId="9" borderId="94" xfId="2" applyNumberFormat="1" applyFont="1" applyFill="1" applyBorder="1" applyAlignment="1" applyProtection="1">
      <alignment horizontal="center" vertical="center"/>
    </xf>
    <xf numFmtId="0" fontId="9" fillId="9" borderId="0" xfId="0" applyFont="1" applyFill="1" applyAlignment="1">
      <alignment horizontal="center" vertical="center"/>
    </xf>
    <xf numFmtId="165" fontId="14" fillId="12" borderId="96" xfId="0" applyNumberFormat="1" applyFont="1" applyFill="1" applyBorder="1" applyAlignment="1" applyProtection="1">
      <alignment horizontal="left" vertical="center"/>
    </xf>
    <xf numFmtId="165" fontId="14" fillId="12" borderId="20" xfId="0" applyNumberFormat="1" applyFont="1" applyFill="1" applyBorder="1" applyAlignment="1" applyProtection="1">
      <alignment horizontal="center" vertical="center"/>
    </xf>
    <xf numFmtId="0" fontId="9" fillId="9" borderId="58" xfId="0" applyFont="1" applyFill="1" applyBorder="1" applyAlignment="1" applyProtection="1">
      <alignment horizontal="center" vertical="center"/>
    </xf>
    <xf numFmtId="1" fontId="14" fillId="12" borderId="65" xfId="0" applyNumberFormat="1" applyFont="1" applyFill="1" applyBorder="1" applyAlignment="1" applyProtection="1">
      <alignment horizontal="center" vertical="center"/>
    </xf>
    <xf numFmtId="1" fontId="14" fillId="12" borderId="20" xfId="0" applyNumberFormat="1" applyFont="1" applyFill="1" applyBorder="1" applyAlignment="1" applyProtection="1">
      <alignment horizontal="center" vertical="center"/>
    </xf>
    <xf numFmtId="1" fontId="14" fillId="12" borderId="101" xfId="0" applyNumberFormat="1" applyFont="1" applyFill="1" applyBorder="1" applyAlignment="1" applyProtection="1">
      <alignment horizontal="center" vertical="center"/>
    </xf>
    <xf numFmtId="0" fontId="9" fillId="9" borderId="0" xfId="0" applyFont="1" applyFill="1" applyAlignment="1">
      <alignment vertical="center"/>
    </xf>
    <xf numFmtId="49" fontId="9" fillId="9" borderId="0" xfId="0" applyNumberFormat="1" applyFont="1" applyFill="1" applyAlignment="1">
      <alignment horizontal="center" vertical="center"/>
    </xf>
    <xf numFmtId="0" fontId="14" fillId="9" borderId="77" xfId="0" applyNumberFormat="1" applyFont="1" applyFill="1" applyBorder="1" applyAlignment="1" applyProtection="1">
      <alignment horizontal="left" vertical="center"/>
    </xf>
    <xf numFmtId="165" fontId="14" fillId="9" borderId="19" xfId="0" applyNumberFormat="1" applyFont="1" applyFill="1" applyBorder="1" applyAlignment="1" applyProtection="1">
      <alignment horizontal="center" vertical="center"/>
    </xf>
    <xf numFmtId="1" fontId="14" fillId="9" borderId="12" xfId="0" applyNumberFormat="1" applyFont="1" applyFill="1" applyBorder="1" applyAlignment="1" applyProtection="1">
      <alignment horizontal="center" vertical="center"/>
    </xf>
    <xf numFmtId="1" fontId="14" fillId="9" borderId="63" xfId="0" applyNumberFormat="1" applyFont="1" applyFill="1" applyBorder="1" applyAlignment="1" applyProtection="1">
      <alignment horizontal="center" vertical="center"/>
    </xf>
    <xf numFmtId="0" fontId="14" fillId="9" borderId="95" xfId="0" applyFont="1" applyFill="1" applyBorder="1" applyAlignment="1" applyProtection="1">
      <alignment horizontal="center" vertical="center"/>
    </xf>
    <xf numFmtId="0" fontId="14" fillId="9" borderId="73" xfId="0" applyNumberFormat="1" applyFont="1" applyFill="1" applyBorder="1" applyAlignment="1" applyProtection="1">
      <alignment horizontal="left" vertical="center"/>
    </xf>
    <xf numFmtId="1" fontId="14" fillId="9" borderId="19" xfId="0" applyNumberFormat="1" applyFont="1" applyFill="1" applyBorder="1" applyAlignment="1" applyProtection="1">
      <alignment horizontal="center" vertical="center"/>
    </xf>
    <xf numFmtId="1" fontId="14" fillId="9" borderId="24" xfId="0" applyNumberFormat="1"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9" fillId="15" borderId="0" xfId="0" applyFont="1" applyFill="1" applyAlignment="1">
      <alignment vertical="center"/>
    </xf>
    <xf numFmtId="2" fontId="14" fillId="9" borderId="19" xfId="0" applyNumberFormat="1" applyFont="1" applyFill="1" applyBorder="1" applyAlignment="1" applyProtection="1">
      <alignment horizontal="center" vertical="center"/>
    </xf>
    <xf numFmtId="2" fontId="14" fillId="9" borderId="22" xfId="0" applyNumberFormat="1" applyFont="1" applyFill="1" applyBorder="1" applyAlignment="1" applyProtection="1">
      <alignment horizontal="center" vertical="center"/>
    </xf>
    <xf numFmtId="165" fontId="14" fillId="9" borderId="24" xfId="0" applyNumberFormat="1" applyFont="1" applyFill="1" applyBorder="1" applyAlignment="1" applyProtection="1">
      <alignment horizontal="center" vertical="center"/>
    </xf>
    <xf numFmtId="0" fontId="9" fillId="9" borderId="0" xfId="0" applyFont="1" applyFill="1" applyAlignment="1">
      <alignment horizontal="left" vertical="center"/>
    </xf>
    <xf numFmtId="0" fontId="14" fillId="9" borderId="71" xfId="0" applyNumberFormat="1" applyFont="1" applyFill="1" applyBorder="1" applyAlignment="1" applyProtection="1">
      <alignment horizontal="left" vertical="center"/>
    </xf>
    <xf numFmtId="165" fontId="14" fillId="9" borderId="16" xfId="0" applyNumberFormat="1" applyFont="1" applyFill="1" applyBorder="1" applyAlignment="1" applyProtection="1">
      <alignment horizontal="center" vertical="center"/>
    </xf>
    <xf numFmtId="0" fontId="14" fillId="9" borderId="0" xfId="0" applyFont="1" applyFill="1" applyAlignment="1">
      <alignment horizontal="center" vertical="center"/>
    </xf>
    <xf numFmtId="0" fontId="9" fillId="9" borderId="0" xfId="0" applyNumberFormat="1" applyFont="1" applyFill="1" applyAlignment="1">
      <alignment horizontal="left" vertical="center"/>
    </xf>
    <xf numFmtId="168" fontId="9" fillId="9" borderId="0" xfId="2" applyNumberFormat="1" applyFont="1" applyFill="1" applyAlignment="1" applyProtection="1">
      <alignment horizontal="center" vertical="center"/>
    </xf>
    <xf numFmtId="165" fontId="9" fillId="9" borderId="0" xfId="0" applyNumberFormat="1" applyFont="1" applyFill="1" applyAlignment="1" applyProtection="1">
      <alignment horizontal="center" vertical="center"/>
    </xf>
    <xf numFmtId="1" fontId="9" fillId="9" borderId="0" xfId="0" applyNumberFormat="1" applyFont="1" applyFill="1" applyAlignment="1" applyProtection="1">
      <alignment horizontal="center" vertical="center"/>
    </xf>
    <xf numFmtId="9" fontId="9" fillId="9" borderId="0" xfId="2" applyFont="1" applyFill="1" applyAlignment="1" applyProtection="1">
      <alignment horizontal="center" vertical="center"/>
    </xf>
    <xf numFmtId="1" fontId="9" fillId="9" borderId="0" xfId="0" applyNumberFormat="1" applyFont="1" applyFill="1" applyAlignment="1">
      <alignment horizontal="center" vertical="center"/>
    </xf>
    <xf numFmtId="0" fontId="9" fillId="9" borderId="0" xfId="0" applyNumberFormat="1" applyFont="1" applyFill="1" applyAlignment="1">
      <alignment horizontal="left" indent="1"/>
    </xf>
    <xf numFmtId="0" fontId="7" fillId="9" borderId="0" xfId="0" applyNumberFormat="1" applyFont="1" applyFill="1" applyAlignment="1" applyProtection="1">
      <alignment horizontal="right" vertical="center"/>
    </xf>
    <xf numFmtId="0" fontId="14" fillId="9" borderId="115" xfId="0" applyNumberFormat="1" applyFont="1" applyFill="1" applyBorder="1" applyAlignment="1" applyProtection="1">
      <alignment horizontal="left" vertical="center"/>
    </xf>
    <xf numFmtId="2" fontId="14" fillId="9" borderId="108" xfId="0" applyNumberFormat="1" applyFont="1" applyFill="1" applyBorder="1" applyAlignment="1" applyProtection="1">
      <alignment horizontal="center" vertical="center"/>
    </xf>
    <xf numFmtId="0" fontId="21" fillId="9" borderId="116" xfId="0" applyFont="1" applyFill="1" applyBorder="1"/>
    <xf numFmtId="0" fontId="9" fillId="9" borderId="117" xfId="0" applyFont="1" applyFill="1" applyBorder="1"/>
    <xf numFmtId="0" fontId="14" fillId="9" borderId="117" xfId="0" applyFont="1" applyFill="1" applyBorder="1" applyAlignment="1">
      <alignment horizontal="center" vertical="center"/>
    </xf>
    <xf numFmtId="0" fontId="14" fillId="9" borderId="118" xfId="0" applyFont="1" applyFill="1" applyBorder="1" applyAlignment="1">
      <alignment horizontal="center" vertical="center"/>
    </xf>
    <xf numFmtId="0" fontId="21" fillId="15" borderId="5" xfId="0" applyFont="1" applyFill="1" applyBorder="1" applyAlignment="1"/>
    <xf numFmtId="0" fontId="21" fillId="15" borderId="6" xfId="0" applyFont="1" applyFill="1" applyBorder="1" applyAlignment="1"/>
    <xf numFmtId="0" fontId="21" fillId="15" borderId="26" xfId="0" applyFont="1" applyFill="1" applyBorder="1" applyAlignment="1"/>
    <xf numFmtId="0" fontId="14" fillId="9" borderId="117" xfId="0" applyFont="1" applyFill="1" applyBorder="1" applyAlignment="1">
      <alignment horizontal="left" vertical="center"/>
    </xf>
    <xf numFmtId="0" fontId="21" fillId="9" borderId="111" xfId="0" applyFont="1" applyFill="1" applyBorder="1" applyAlignment="1" applyProtection="1">
      <protection hidden="1"/>
    </xf>
    <xf numFmtId="0" fontId="21" fillId="9" borderId="112" xfId="0" applyFont="1" applyFill="1" applyBorder="1" applyAlignment="1" applyProtection="1">
      <protection hidden="1"/>
    </xf>
    <xf numFmtId="0" fontId="21" fillId="9" borderId="113" xfId="0" applyFont="1" applyFill="1" applyBorder="1" applyAlignment="1" applyProtection="1">
      <protection hidden="1"/>
    </xf>
    <xf numFmtId="0" fontId="32" fillId="15" borderId="111" xfId="4" applyFont="1" applyFill="1" applyBorder="1" applyAlignment="1"/>
    <xf numFmtId="0" fontId="32" fillId="15" borderId="112" xfId="4" applyFont="1" applyFill="1" applyBorder="1" applyAlignment="1"/>
    <xf numFmtId="0" fontId="32" fillId="15" borderId="113" xfId="4" applyFont="1" applyFill="1" applyBorder="1" applyAlignment="1"/>
    <xf numFmtId="0" fontId="14" fillId="9" borderId="112" xfId="0" applyFont="1" applyFill="1" applyBorder="1" applyAlignment="1">
      <alignment horizontal="center" vertical="center"/>
    </xf>
    <xf numFmtId="0" fontId="14" fillId="9" borderId="112" xfId="0" applyFont="1" applyFill="1" applyBorder="1" applyAlignment="1">
      <alignment horizontal="left" vertical="center"/>
    </xf>
    <xf numFmtId="0" fontId="14" fillId="9" borderId="6" xfId="0" applyFont="1" applyFill="1" applyBorder="1" applyAlignment="1">
      <alignment horizontal="center" vertical="center"/>
    </xf>
    <xf numFmtId="0" fontId="14" fillId="9" borderId="6" xfId="0" applyFont="1" applyFill="1" applyBorder="1" applyAlignment="1">
      <alignment horizontal="left" vertical="center"/>
    </xf>
    <xf numFmtId="170" fontId="9" fillId="10" borderId="53" xfId="7" applyNumberFormat="1" applyFont="1" applyFill="1" applyBorder="1" applyAlignment="1" applyProtection="1">
      <alignment horizontal="left" vertical="center"/>
    </xf>
    <xf numFmtId="0" fontId="9" fillId="10" borderId="46" xfId="7" applyFont="1" applyFill="1" applyBorder="1" applyAlignment="1" applyProtection="1">
      <alignment horizontal="left" vertical="center"/>
    </xf>
    <xf numFmtId="165" fontId="9" fillId="4" borderId="20" xfId="7" applyNumberFormat="1"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86" xfId="7" applyFont="1" applyFill="1" applyBorder="1" applyAlignment="1" applyProtection="1">
      <alignment horizontal="center" vertical="center"/>
    </xf>
    <xf numFmtId="165" fontId="9" fillId="4" borderId="110" xfId="7" applyNumberFormat="1" applyFont="1" applyFill="1" applyBorder="1" applyAlignment="1" applyProtection="1">
      <alignment horizontal="center" vertical="center"/>
    </xf>
    <xf numFmtId="1" fontId="9" fillId="4" borderId="110" xfId="7" applyNumberFormat="1" applyFont="1" applyFill="1" applyBorder="1" applyAlignment="1" applyProtection="1">
      <alignment horizontal="center" vertical="center"/>
    </xf>
    <xf numFmtId="2" fontId="9" fillId="4" borderId="110"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65" fontId="9" fillId="4" borderId="18"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0" fontId="9" fillId="4" borderId="23" xfId="7" applyFont="1" applyFill="1" applyBorder="1" applyAlignment="1" applyProtection="1">
      <alignment horizontal="center" vertical="center" wrapText="1"/>
    </xf>
    <xf numFmtId="0" fontId="9" fillId="4" borderId="69" xfId="7" applyFont="1" applyFill="1" applyBorder="1" applyAlignment="1" applyProtection="1">
      <alignment horizontal="center" vertical="center"/>
    </xf>
    <xf numFmtId="0" fontId="9" fillId="4" borderId="4" xfId="7" applyFont="1" applyFill="1" applyBorder="1" applyAlignment="1" applyProtection="1">
      <alignment horizontal="centerContinuous" vertical="center"/>
    </xf>
    <xf numFmtId="0" fontId="9" fillId="0" borderId="0" xfId="0" applyFont="1" applyProtection="1"/>
    <xf numFmtId="0" fontId="14" fillId="10" borderId="52" xfId="0" applyFont="1" applyFill="1" applyBorder="1" applyProtection="1"/>
    <xf numFmtId="0" fontId="9" fillId="10" borderId="70" xfId="0" applyFont="1" applyFill="1" applyBorder="1" applyProtection="1"/>
    <xf numFmtId="0" fontId="9" fillId="10" borderId="41" xfId="0" applyFont="1" applyFill="1" applyBorder="1" applyProtection="1"/>
    <xf numFmtId="167" fontId="9" fillId="16" borderId="52" xfId="0" applyNumberFormat="1" applyFont="1" applyFill="1" applyBorder="1" applyProtection="1"/>
    <xf numFmtId="0" fontId="9" fillId="16" borderId="70" xfId="0" applyFont="1" applyFill="1" applyBorder="1" applyProtection="1"/>
    <xf numFmtId="0" fontId="9" fillId="16" borderId="41" xfId="0" applyFont="1" applyFill="1" applyBorder="1" applyProtection="1"/>
    <xf numFmtId="0" fontId="9" fillId="16" borderId="52" xfId="0" applyFont="1" applyFill="1" applyBorder="1" applyProtection="1"/>
    <xf numFmtId="167" fontId="9" fillId="0" borderId="0" xfId="0" applyNumberFormat="1" applyFont="1" applyProtection="1"/>
    <xf numFmtId="0" fontId="9" fillId="10" borderId="0" xfId="0" applyNumberFormat="1" applyFont="1" applyFill="1" applyBorder="1" applyAlignment="1" applyProtection="1">
      <alignment vertical="center"/>
    </xf>
    <xf numFmtId="167" fontId="9" fillId="10" borderId="55" xfId="0" applyNumberFormat="1" applyFont="1" applyFill="1" applyBorder="1" applyAlignment="1" applyProtection="1">
      <alignment vertical="center"/>
    </xf>
    <xf numFmtId="167" fontId="9" fillId="16" borderId="0" xfId="0" applyNumberFormat="1" applyFont="1" applyFill="1" applyBorder="1" applyProtection="1"/>
    <xf numFmtId="167" fontId="9" fillId="16" borderId="55" xfId="0" applyNumberFormat="1" applyFont="1" applyFill="1" applyBorder="1" applyProtection="1"/>
    <xf numFmtId="0" fontId="9" fillId="10" borderId="56" xfId="0" applyFont="1" applyFill="1" applyBorder="1" applyAlignment="1" applyProtection="1">
      <alignment vertical="center"/>
    </xf>
    <xf numFmtId="0" fontId="9" fillId="10" borderId="28" xfId="0" applyFont="1" applyFill="1" applyBorder="1" applyAlignment="1" applyProtection="1">
      <alignment vertical="center"/>
    </xf>
    <xf numFmtId="0" fontId="9" fillId="10" borderId="57" xfId="0" applyFont="1" applyFill="1" applyBorder="1" applyAlignment="1" applyProtection="1">
      <alignment vertical="center"/>
    </xf>
    <xf numFmtId="0" fontId="9" fillId="16" borderId="56" xfId="0" applyFont="1" applyFill="1" applyBorder="1" applyAlignment="1" applyProtection="1">
      <alignment vertical="top"/>
    </xf>
    <xf numFmtId="0" fontId="9" fillId="16" borderId="28" xfId="0" applyFont="1" applyFill="1" applyBorder="1" applyAlignment="1" applyProtection="1">
      <alignment vertical="top"/>
    </xf>
    <xf numFmtId="0" fontId="9" fillId="16" borderId="57" xfId="0" applyFont="1" applyFill="1" applyBorder="1" applyAlignment="1" applyProtection="1">
      <alignment vertical="top"/>
    </xf>
    <xf numFmtId="0" fontId="9" fillId="16" borderId="56" xfId="0" applyFont="1" applyFill="1" applyBorder="1" applyProtection="1"/>
    <xf numFmtId="2" fontId="9" fillId="16" borderId="57" xfId="0" applyNumberFormat="1" applyFont="1" applyFill="1" applyBorder="1" applyAlignment="1" applyProtection="1">
      <alignment vertical="top"/>
    </xf>
    <xf numFmtId="0" fontId="9" fillId="0" borderId="0" xfId="0" applyFont="1" applyAlignment="1" applyProtection="1">
      <alignment vertical="center"/>
    </xf>
    <xf numFmtId="0" fontId="11" fillId="15" borderId="0" xfId="7" applyFont="1" applyFill="1" applyBorder="1" applyAlignment="1" applyProtection="1">
      <alignment vertical="center"/>
    </xf>
    <xf numFmtId="0" fontId="14" fillId="4" borderId="31" xfId="7" applyFont="1" applyFill="1" applyBorder="1" applyAlignment="1" applyProtection="1">
      <alignment horizontal="centerContinuous" vertical="center"/>
    </xf>
    <xf numFmtId="0" fontId="9" fillId="4" borderId="76" xfId="7" applyFont="1" applyFill="1" applyBorder="1" applyAlignment="1" applyProtection="1">
      <alignment horizontal="center" vertical="center"/>
    </xf>
    <xf numFmtId="0" fontId="9" fillId="4" borderId="33"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61" xfId="7" applyFont="1" applyFill="1" applyBorder="1" applyAlignment="1" applyProtection="1">
      <alignment horizontal="center" vertical="center"/>
    </xf>
    <xf numFmtId="0" fontId="9" fillId="4" borderId="79" xfId="7" applyFont="1" applyFill="1" applyBorder="1" applyAlignment="1" applyProtection="1">
      <alignment horizontal="center" vertical="center"/>
    </xf>
    <xf numFmtId="170" fontId="9" fillId="0" borderId="33" xfId="7" applyNumberFormat="1" applyFont="1" applyFill="1" applyBorder="1" applyAlignment="1" applyProtection="1">
      <alignment horizontal="left" vertical="center"/>
    </xf>
    <xf numFmtId="170" fontId="9" fillId="0" borderId="42" xfId="7" applyNumberFormat="1" applyFont="1" applyFill="1" applyBorder="1" applyAlignment="1" applyProtection="1">
      <alignment horizontal="left" vertical="center"/>
    </xf>
    <xf numFmtId="167" fontId="9" fillId="0" borderId="42" xfId="7" applyNumberFormat="1" applyFont="1" applyFill="1" applyBorder="1" applyAlignment="1" applyProtection="1">
      <alignment horizontal="left" vertical="center"/>
    </xf>
    <xf numFmtId="165" fontId="9" fillId="4" borderId="65"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xf>
    <xf numFmtId="167" fontId="9" fillId="0" borderId="105" xfId="7" applyNumberFormat="1" applyFont="1" applyFill="1" applyBorder="1" applyAlignment="1" applyProtection="1">
      <alignment horizontal="left" vertical="center"/>
    </xf>
    <xf numFmtId="170" fontId="9" fillId="0" borderId="17" xfId="7" applyNumberFormat="1" applyFont="1" applyFill="1" applyBorder="1" applyAlignment="1" applyProtection="1">
      <alignment horizontal="left" vertical="center"/>
    </xf>
    <xf numFmtId="170" fontId="9" fillId="0" borderId="82" xfId="7" applyNumberFormat="1" applyFont="1" applyFill="1" applyBorder="1" applyAlignment="1" applyProtection="1">
      <alignment horizontal="left" vertical="center"/>
    </xf>
    <xf numFmtId="167" fontId="9" fillId="0" borderId="82" xfId="7" applyNumberFormat="1" applyFont="1" applyFill="1" applyBorder="1" applyAlignment="1" applyProtection="1">
      <alignment horizontal="left" vertical="center"/>
    </xf>
    <xf numFmtId="165" fontId="9" fillId="4" borderId="67" xfId="7" applyNumberFormat="1" applyFont="1" applyFill="1" applyBorder="1" applyAlignment="1" applyProtection="1">
      <alignment horizontal="center" vertical="center"/>
    </xf>
    <xf numFmtId="167" fontId="9" fillId="15" borderId="0" xfId="7" applyNumberFormat="1" applyFont="1" applyFill="1" applyBorder="1" applyAlignment="1" applyProtection="1">
      <alignment vertical="center"/>
    </xf>
    <xf numFmtId="0" fontId="9" fillId="4" borderId="58"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0" fontId="20" fillId="15" borderId="0" xfId="9" applyFont="1" applyFill="1" applyBorder="1" applyAlignment="1" applyProtection="1">
      <alignment vertical="center"/>
    </xf>
    <xf numFmtId="167" fontId="9" fillId="4" borderId="41" xfId="7" applyNumberFormat="1" applyFont="1" applyFill="1" applyBorder="1" applyAlignment="1" applyProtection="1">
      <alignment vertical="center"/>
    </xf>
    <xf numFmtId="1" fontId="9" fillId="15" borderId="0" xfId="7" applyNumberFormat="1" applyFont="1" applyFill="1" applyBorder="1" applyAlignment="1" applyProtection="1">
      <alignment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4" fillId="15" borderId="0" xfId="7" applyFont="1" applyFill="1" applyBorder="1" applyAlignment="1" applyProtection="1">
      <alignment horizontal="center" vertical="center"/>
    </xf>
    <xf numFmtId="167" fontId="9" fillId="0" borderId="42" xfId="7" applyNumberFormat="1" applyFont="1" applyFill="1" applyBorder="1" applyAlignment="1" applyProtection="1">
      <alignment vertical="center"/>
    </xf>
    <xf numFmtId="0" fontId="9" fillId="16" borderId="52" xfId="7" applyFont="1" applyFill="1" applyBorder="1" applyAlignment="1" applyProtection="1">
      <alignment horizontal="left" vertical="center"/>
    </xf>
    <xf numFmtId="0" fontId="9" fillId="16" borderId="54" xfId="7" applyFont="1" applyFill="1" applyBorder="1" applyAlignment="1" applyProtection="1">
      <alignment horizontal="left" vertical="center"/>
    </xf>
    <xf numFmtId="0" fontId="9" fillId="16" borderId="56" xfId="0" applyFont="1" applyFill="1" applyBorder="1" applyAlignment="1" applyProtection="1">
      <alignment horizontal="left"/>
    </xf>
    <xf numFmtId="0" fontId="9" fillId="16" borderId="28" xfId="0" applyFont="1" applyFill="1" applyBorder="1" applyProtection="1"/>
    <xf numFmtId="165" fontId="9" fillId="4" borderId="109" xfId="7" applyNumberFormat="1"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83" xfId="7" applyFont="1" applyFill="1" applyBorder="1" applyAlignment="1" applyProtection="1">
      <alignment horizontal="center" vertical="center"/>
    </xf>
    <xf numFmtId="0" fontId="9" fillId="16" borderId="70" xfId="7" applyFont="1" applyFill="1" applyBorder="1" applyAlignment="1" applyProtection="1">
      <alignment horizontal="center" vertical="center"/>
    </xf>
    <xf numFmtId="180" fontId="9" fillId="14" borderId="23" xfId="7" applyNumberFormat="1" applyFont="1" applyFill="1" applyBorder="1" applyAlignment="1" applyProtection="1">
      <alignment horizontal="right" vertical="center"/>
      <protection locked="0"/>
    </xf>
    <xf numFmtId="2" fontId="9" fillId="0" borderId="0" xfId="0" applyNumberFormat="1" applyFont="1" applyAlignment="1" applyProtection="1">
      <alignment vertical="center"/>
    </xf>
    <xf numFmtId="165" fontId="9" fillId="0" borderId="0" xfId="0" applyNumberFormat="1" applyFont="1" applyAlignment="1" applyProtection="1">
      <alignment vertical="center"/>
    </xf>
    <xf numFmtId="0" fontId="39" fillId="0" borderId="0" xfId="0" applyFont="1" applyAlignment="1">
      <alignment horizontal="center" vertical="center" readingOrder="1"/>
    </xf>
    <xf numFmtId="0" fontId="9" fillId="16" borderId="70" xfId="0" applyFont="1" applyFill="1" applyBorder="1" applyAlignment="1" applyProtection="1">
      <alignment vertical="top"/>
    </xf>
    <xf numFmtId="2" fontId="9" fillId="16" borderId="28" xfId="0" applyNumberFormat="1" applyFont="1" applyFill="1" applyBorder="1" applyAlignment="1" applyProtection="1"/>
    <xf numFmtId="0" fontId="9" fillId="16" borderId="0" xfId="0" applyFont="1" applyFill="1" applyBorder="1" applyAlignment="1" applyProtection="1">
      <alignment vertical="center"/>
    </xf>
    <xf numFmtId="49" fontId="9" fillId="0" borderId="0" xfId="0" applyNumberFormat="1" applyFont="1" applyAlignment="1" applyProtection="1">
      <alignment vertical="center"/>
    </xf>
    <xf numFmtId="0" fontId="40" fillId="0" borderId="0" xfId="0" applyFont="1" applyAlignment="1">
      <alignment horizontal="left" vertical="center" readingOrder="1"/>
    </xf>
    <xf numFmtId="0" fontId="9" fillId="11" borderId="0" xfId="0" applyFont="1" applyFill="1" applyAlignment="1" applyProtection="1">
      <alignment vertical="center"/>
    </xf>
    <xf numFmtId="1" fontId="9" fillId="13" borderId="0" xfId="7" applyNumberFormat="1" applyFont="1" applyFill="1" applyBorder="1" applyAlignment="1" applyProtection="1">
      <alignment horizontal="center" vertical="center"/>
    </xf>
    <xf numFmtId="0" fontId="9" fillId="13" borderId="31" xfId="0" applyFont="1" applyFill="1" applyBorder="1" applyAlignment="1" applyProtection="1">
      <alignment vertical="center"/>
    </xf>
    <xf numFmtId="165" fontId="9" fillId="13" borderId="0" xfId="7" applyNumberFormat="1" applyFont="1" applyFill="1" applyBorder="1" applyAlignment="1" applyProtection="1">
      <alignment horizontal="center" vertical="center"/>
    </xf>
    <xf numFmtId="9" fontId="9" fillId="16" borderId="18" xfId="2" applyFont="1" applyFill="1" applyBorder="1" applyAlignment="1" applyProtection="1">
      <alignment horizontal="left"/>
    </xf>
    <xf numFmtId="165" fontId="9" fillId="13" borderId="70" xfId="7" applyNumberFormat="1" applyFont="1" applyFill="1" applyBorder="1" applyAlignment="1" applyProtection="1">
      <alignment horizontal="center" vertical="center"/>
    </xf>
    <xf numFmtId="1" fontId="9" fillId="13" borderId="28" xfId="7" applyNumberFormat="1" applyFont="1" applyFill="1" applyBorder="1" applyAlignment="1" applyProtection="1">
      <alignment horizontal="center" vertical="center"/>
    </xf>
    <xf numFmtId="165" fontId="9" fillId="13" borderId="28" xfId="7" applyNumberFormat="1" applyFont="1" applyFill="1" applyBorder="1" applyAlignment="1" applyProtection="1">
      <alignment horizontal="center" vertical="center"/>
    </xf>
    <xf numFmtId="0" fontId="9" fillId="15" borderId="0" xfId="0" applyFont="1" applyFill="1" applyProtection="1"/>
    <xf numFmtId="167" fontId="9" fillId="15" borderId="0" xfId="0" applyNumberFormat="1" applyFont="1" applyFill="1" applyProtection="1"/>
    <xf numFmtId="0" fontId="9" fillId="15" borderId="0" xfId="0" applyFont="1" applyFill="1" applyAlignment="1" applyProtection="1">
      <alignment vertical="center"/>
    </xf>
    <xf numFmtId="0" fontId="39" fillId="15" borderId="0" xfId="0" applyFont="1" applyFill="1" applyAlignment="1">
      <alignment horizontal="center" vertical="center" readingOrder="1"/>
    </xf>
    <xf numFmtId="0" fontId="9" fillId="15" borderId="0" xfId="0" applyFont="1" applyFill="1" applyBorder="1" applyAlignment="1" applyProtection="1">
      <alignment horizontal="right"/>
    </xf>
    <xf numFmtId="167" fontId="9" fillId="15" borderId="0" xfId="0" applyNumberFormat="1" applyFont="1" applyFill="1" applyBorder="1" applyAlignment="1" applyProtection="1">
      <alignment horizontal="right"/>
    </xf>
    <xf numFmtId="0" fontId="40" fillId="15" borderId="0" xfId="0" applyFont="1" applyFill="1" applyAlignment="1">
      <alignment horizontal="left" vertical="center" readingOrder="1"/>
    </xf>
    <xf numFmtId="181" fontId="40" fillId="15" borderId="0" xfId="0" applyNumberFormat="1" applyFont="1" applyFill="1" applyAlignment="1">
      <alignment horizontal="left" vertical="center" readingOrder="1"/>
    </xf>
    <xf numFmtId="2" fontId="9" fillId="15" borderId="0" xfId="0" applyNumberFormat="1" applyFont="1" applyFill="1" applyAlignment="1" applyProtection="1">
      <alignment vertical="center"/>
    </xf>
    <xf numFmtId="1" fontId="14" fillId="0" borderId="34" xfId="2" applyNumberFormat="1" applyFont="1" applyFill="1" applyBorder="1" applyAlignment="1" applyProtection="1">
      <alignment horizontal="center" vertical="center"/>
      <protection locked="0"/>
    </xf>
    <xf numFmtId="1" fontId="14" fillId="0" borderId="16" xfId="2" applyNumberFormat="1" applyFont="1" applyFill="1" applyBorder="1" applyAlignment="1" applyProtection="1">
      <alignment horizontal="center" vertical="center"/>
      <protection locked="0"/>
    </xf>
    <xf numFmtId="1" fontId="14" fillId="0" borderId="17" xfId="2" applyNumberFormat="1" applyFont="1" applyFill="1" applyBorder="1" applyAlignment="1" applyProtection="1">
      <alignment horizontal="center" vertical="center"/>
      <protection locked="0"/>
    </xf>
    <xf numFmtId="1" fontId="14" fillId="0" borderId="58" xfId="2" applyNumberFormat="1" applyFont="1" applyFill="1" applyBorder="1" applyAlignment="1" applyProtection="1">
      <alignment horizontal="center" vertical="center"/>
      <protection locked="0"/>
    </xf>
    <xf numFmtId="0" fontId="8" fillId="9" borderId="0" xfId="0" applyFont="1" applyFill="1" applyBorder="1" applyAlignment="1" applyProtection="1">
      <alignment vertical="center"/>
      <protection locked="0" hidden="1"/>
    </xf>
    <xf numFmtId="167" fontId="8" fillId="9" borderId="0" xfId="0" applyNumberFormat="1" applyFont="1" applyFill="1" applyBorder="1" applyAlignment="1" applyProtection="1">
      <alignment horizontal="center" vertical="center"/>
      <protection locked="0" hidden="1"/>
    </xf>
    <xf numFmtId="175" fontId="9" fillId="14" borderId="110" xfId="0" applyNumberFormat="1" applyFont="1" applyFill="1" applyBorder="1" applyAlignment="1" applyProtection="1">
      <alignment horizontal="left" vertical="center"/>
      <protection locked="0" hidden="1"/>
    </xf>
    <xf numFmtId="177" fontId="9" fillId="14" borderId="110" xfId="0" applyNumberFormat="1" applyFont="1" applyFill="1" applyBorder="1" applyAlignment="1" applyProtection="1">
      <alignment horizontal="left" vertical="center"/>
      <protection locked="0" hidden="1"/>
    </xf>
    <xf numFmtId="9" fontId="9" fillId="14" borderId="110" xfId="0" applyNumberFormat="1" applyFont="1" applyFill="1" applyBorder="1" applyAlignment="1" applyProtection="1">
      <alignment horizontal="left" vertical="center"/>
      <protection locked="0" hidden="1"/>
    </xf>
    <xf numFmtId="9" fontId="9" fillId="14" borderId="110" xfId="2" applyFont="1" applyFill="1" applyBorder="1" applyAlignment="1" applyProtection="1">
      <alignment horizontal="left" vertical="center"/>
      <protection locked="0" hidden="1"/>
    </xf>
    <xf numFmtId="0" fontId="1" fillId="0" borderId="0" xfId="0" applyFont="1"/>
    <xf numFmtId="182" fontId="9" fillId="9" borderId="10" xfId="0" applyNumberFormat="1" applyFont="1" applyFill="1" applyBorder="1" applyAlignment="1" applyProtection="1">
      <alignment horizontal="center"/>
      <protection hidden="1"/>
    </xf>
    <xf numFmtId="183" fontId="24" fillId="9" borderId="61" xfId="1" applyNumberFormat="1" applyFont="1" applyFill="1" applyBorder="1" applyAlignment="1" applyProtection="1">
      <alignment horizontal="center"/>
      <protection hidden="1"/>
    </xf>
    <xf numFmtId="183" fontId="24" fillId="9" borderId="10" xfId="1" applyNumberFormat="1" applyFont="1" applyFill="1" applyBorder="1" applyAlignment="1" applyProtection="1">
      <alignment horizontal="center"/>
      <protection hidden="1"/>
    </xf>
    <xf numFmtId="178" fontId="9" fillId="9" borderId="3" xfId="0" applyNumberFormat="1" applyFont="1" applyFill="1" applyBorder="1" applyAlignment="1" applyProtection="1">
      <alignment horizontal="center"/>
      <protection hidden="1"/>
    </xf>
    <xf numFmtId="0" fontId="9" fillId="9" borderId="0" xfId="0" applyFont="1" applyFill="1" applyBorder="1" applyAlignment="1" applyProtection="1">
      <alignment vertical="center"/>
      <protection hidden="1"/>
    </xf>
    <xf numFmtId="176" fontId="6" fillId="9" borderId="3" xfId="0" applyNumberFormat="1" applyFont="1" applyFill="1" applyBorder="1" applyAlignment="1" applyProtection="1">
      <alignment horizontal="center"/>
      <protection hidden="1"/>
    </xf>
    <xf numFmtId="165" fontId="9" fillId="11" borderId="0" xfId="0" applyNumberFormat="1" applyFont="1" applyFill="1" applyAlignment="1" applyProtection="1">
      <alignment vertical="center"/>
    </xf>
    <xf numFmtId="2" fontId="9" fillId="0" borderId="0" xfId="0" applyNumberFormat="1" applyFont="1" applyProtection="1"/>
    <xf numFmtId="165" fontId="9" fillId="4" borderId="50"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 fontId="14" fillId="13" borderId="50" xfId="7" applyNumberFormat="1" applyFont="1" applyFill="1" applyBorder="1" applyAlignment="1" applyProtection="1">
      <alignment horizontal="center" vertical="center"/>
    </xf>
    <xf numFmtId="1" fontId="14" fillId="17" borderId="50" xfId="1" applyNumberFormat="1" applyFont="1" applyFill="1" applyBorder="1" applyAlignment="1" applyProtection="1">
      <alignment horizontal="center" vertical="center"/>
    </xf>
    <xf numFmtId="1" fontId="14" fillId="17" borderId="49" xfId="1" applyNumberFormat="1" applyFont="1" applyFill="1" applyBorder="1" applyAlignment="1" applyProtection="1">
      <alignment horizontal="center" vertical="center"/>
    </xf>
    <xf numFmtId="2" fontId="14" fillId="4" borderId="36" xfId="7" applyNumberFormat="1" applyFont="1" applyFill="1" applyBorder="1" applyAlignment="1" applyProtection="1">
      <alignment horizontal="center" vertical="center"/>
    </xf>
    <xf numFmtId="165" fontId="14" fillId="4" borderId="21" xfId="7" applyNumberFormat="1" applyFont="1" applyFill="1" applyBorder="1" applyAlignment="1" applyProtection="1">
      <alignment horizontal="center" vertical="center"/>
    </xf>
    <xf numFmtId="1" fontId="14" fillId="4" borderId="21" xfId="7" applyNumberFormat="1" applyFont="1" applyFill="1" applyBorder="1" applyAlignment="1" applyProtection="1">
      <alignment horizontal="center" vertical="center"/>
    </xf>
    <xf numFmtId="1" fontId="14" fillId="4" borderId="25"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0" fontId="14"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165" fontId="9" fillId="4" borderId="45" xfId="7" applyNumberFormat="1" applyFont="1" applyFill="1" applyBorder="1" applyAlignment="1" applyProtection="1">
      <alignment horizontal="center" vertical="center"/>
    </xf>
    <xf numFmtId="165" fontId="9" fillId="4" borderId="48" xfId="7" applyNumberFormat="1" applyFont="1" applyFill="1" applyBorder="1" applyAlignment="1" applyProtection="1">
      <alignment horizontal="center" vertical="center"/>
    </xf>
    <xf numFmtId="2" fontId="17" fillId="4" borderId="48" xfId="7" applyNumberFormat="1" applyFont="1" applyFill="1" applyBorder="1" applyAlignment="1" applyProtection="1">
      <alignment horizontal="center" vertical="center"/>
    </xf>
    <xf numFmtId="0" fontId="14" fillId="4" borderId="43" xfId="7" applyFont="1" applyFill="1" applyBorder="1" applyAlignment="1" applyProtection="1">
      <alignment horizontal="center" vertical="center" wrapText="1"/>
    </xf>
    <xf numFmtId="0" fontId="14" fillId="4" borderId="79" xfId="7" applyFont="1" applyFill="1" applyBorder="1" applyAlignment="1" applyProtection="1">
      <alignment horizontal="center" vertical="center"/>
    </xf>
    <xf numFmtId="2" fontId="14" fillId="4" borderId="46" xfId="7" applyNumberFormat="1" applyFont="1" applyFill="1" applyBorder="1" applyAlignment="1" applyProtection="1">
      <alignment horizontal="center" vertical="center"/>
    </xf>
    <xf numFmtId="2" fontId="14" fillId="4" borderId="15" xfId="7" applyNumberFormat="1" applyFont="1" applyFill="1" applyBorder="1" applyAlignment="1" applyProtection="1">
      <alignment horizontal="center" vertical="center"/>
    </xf>
    <xf numFmtId="179" fontId="9" fillId="8" borderId="58" xfId="7" applyNumberFormat="1" applyFont="1" applyFill="1" applyBorder="1" applyAlignment="1" applyProtection="1">
      <alignment horizontal="center" vertical="center"/>
    </xf>
    <xf numFmtId="165" fontId="9" fillId="4" borderId="86" xfId="7" applyNumberFormat="1" applyFont="1" applyFill="1" applyBorder="1" applyAlignment="1" applyProtection="1">
      <alignment horizontal="center" vertical="center"/>
    </xf>
    <xf numFmtId="165" fontId="14" fillId="4" borderId="27" xfId="7" applyNumberFormat="1" applyFont="1" applyFill="1" applyBorder="1" applyAlignment="1" applyProtection="1">
      <alignment horizontal="center" vertical="center"/>
    </xf>
    <xf numFmtId="2" fontId="14" fillId="4" borderId="43" xfId="7" applyNumberFormat="1" applyFont="1" applyFill="1" applyBorder="1" applyAlignment="1" applyProtection="1">
      <alignment horizontal="center" vertical="center"/>
    </xf>
    <xf numFmtId="2" fontId="14" fillId="4" borderId="25" xfId="7" applyNumberFormat="1" applyFont="1" applyFill="1" applyBorder="1" applyAlignment="1" applyProtection="1">
      <alignment horizontal="center" vertical="center"/>
    </xf>
    <xf numFmtId="165" fontId="14" fillId="13" borderId="48" xfId="7" applyNumberFormat="1" applyFont="1" applyFill="1" applyBorder="1" applyAlignment="1" applyProtection="1">
      <alignment horizontal="center" vertical="center"/>
    </xf>
    <xf numFmtId="165" fontId="14" fillId="13" borderId="5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4" fillId="4" borderId="57" xfId="7" applyNumberFormat="1" applyFont="1" applyFill="1" applyBorder="1" applyAlignment="1" applyProtection="1">
      <alignment horizontal="center" vertical="center"/>
    </xf>
    <xf numFmtId="0" fontId="9" fillId="4" borderId="70" xfId="7"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54" xfId="7" applyFont="1" applyFill="1" applyBorder="1" applyAlignment="1" applyProtection="1">
      <alignment horizontal="left" vertical="center"/>
    </xf>
    <xf numFmtId="0" fontId="9" fillId="4" borderId="0"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65" fontId="9" fillId="4" borderId="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165" fontId="9" fillId="4" borderId="55" xfId="7" applyNumberFormat="1" applyFont="1" applyFill="1" applyBorder="1" applyAlignment="1" applyProtection="1">
      <alignment horizontal="center" vertical="center"/>
    </xf>
    <xf numFmtId="1" fontId="9" fillId="0" borderId="0" xfId="0" applyNumberFormat="1" applyFont="1" applyProtection="1"/>
    <xf numFmtId="0" fontId="14" fillId="4" borderId="0" xfId="7" applyFont="1" applyFill="1" applyBorder="1" applyAlignment="1" applyProtection="1">
      <alignment horizontal="center" vertical="center"/>
    </xf>
    <xf numFmtId="0" fontId="14" fillId="4" borderId="55" xfId="7" applyFont="1" applyFill="1" applyBorder="1" applyAlignment="1" applyProtection="1">
      <alignment horizontal="center" vertical="center"/>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1" fontId="9" fillId="20" borderId="48" xfId="1" applyNumberFormat="1" applyFont="1" applyFill="1" applyBorder="1" applyAlignment="1" applyProtection="1">
      <alignment horizontal="center" vertical="center"/>
    </xf>
    <xf numFmtId="1" fontId="9" fillId="20" borderId="50" xfId="1" applyNumberFormat="1" applyFont="1" applyFill="1" applyBorder="1" applyAlignment="1" applyProtection="1">
      <alignment horizontal="center" vertical="center"/>
    </xf>
    <xf numFmtId="1" fontId="9" fillId="20" borderId="49" xfId="1" applyNumberFormat="1" applyFont="1" applyFill="1" applyBorder="1" applyAlignment="1" applyProtection="1">
      <alignment horizontal="center" vertical="center"/>
    </xf>
    <xf numFmtId="2" fontId="17" fillId="21" borderId="48" xfId="7" applyNumberFormat="1" applyFont="1" applyFill="1" applyBorder="1" applyAlignment="1" applyProtection="1">
      <alignment horizontal="center" vertical="center"/>
    </xf>
    <xf numFmtId="167" fontId="14" fillId="4" borderId="28" xfId="7" applyNumberFormat="1" applyFont="1" applyFill="1" applyBorder="1" applyAlignment="1" applyProtection="1">
      <alignment horizontal="center" vertical="center"/>
    </xf>
    <xf numFmtId="167" fontId="14" fillId="4" borderId="57" xfId="7" applyNumberFormat="1"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65" fontId="9" fillId="4" borderId="54" xfId="7" applyNumberFormat="1" applyFont="1" applyFill="1" applyBorder="1" applyAlignment="1" applyProtection="1">
      <alignment horizontal="center" vertical="center"/>
    </xf>
    <xf numFmtId="0" fontId="14" fillId="4" borderId="54" xfId="7" applyFont="1" applyFill="1" applyBorder="1" applyAlignment="1" applyProtection="1">
      <alignment horizontal="center" vertical="center"/>
    </xf>
    <xf numFmtId="167" fontId="14" fillId="4" borderId="56" xfId="7" applyNumberFormat="1" applyFont="1" applyFill="1" applyBorder="1" applyAlignment="1" applyProtection="1">
      <alignment horizontal="center" vertical="center"/>
    </xf>
    <xf numFmtId="0" fontId="9" fillId="4" borderId="31" xfId="7" applyFont="1" applyFill="1" applyBorder="1" applyAlignment="1" applyProtection="1">
      <alignment horizontal="centerContinuous" vertical="center"/>
    </xf>
    <xf numFmtId="2" fontId="9" fillId="0" borderId="76" xfId="7" applyNumberFormat="1" applyFont="1" applyFill="1" applyBorder="1" applyAlignment="1" applyProtection="1">
      <alignment horizontal="right" vertical="center"/>
      <protection locked="0"/>
    </xf>
    <xf numFmtId="2" fontId="9" fillId="0" borderId="74" xfId="7" applyNumberFormat="1" applyFont="1" applyFill="1" applyBorder="1" applyAlignment="1" applyProtection="1">
      <alignment horizontal="right" vertical="center"/>
      <protection locked="0"/>
    </xf>
    <xf numFmtId="2" fontId="9" fillId="0" borderId="75" xfId="7" applyNumberFormat="1" applyFont="1" applyFill="1" applyBorder="1" applyAlignment="1" applyProtection="1">
      <alignment horizontal="right" vertical="center"/>
      <protection locked="0"/>
    </xf>
    <xf numFmtId="0" fontId="9" fillId="15" borderId="0" xfId="0" applyFont="1" applyFill="1" applyProtection="1">
      <protection locked="0"/>
    </xf>
    <xf numFmtId="0" fontId="9" fillId="0" borderId="0" xfId="0" applyFont="1" applyProtection="1">
      <protection locked="0"/>
    </xf>
    <xf numFmtId="0" fontId="9" fillId="15" borderId="0" xfId="7" applyFont="1" applyFill="1" applyBorder="1" applyAlignment="1" applyProtection="1">
      <alignment horizontal="center" vertical="center"/>
      <protection locked="0"/>
    </xf>
    <xf numFmtId="0" fontId="9" fillId="0" borderId="0" xfId="7" applyFont="1" applyBorder="1" applyAlignment="1" applyProtection="1">
      <alignment horizontal="center" vertical="center"/>
      <protection locked="0"/>
    </xf>
    <xf numFmtId="0" fontId="9" fillId="15" borderId="0" xfId="7" applyFont="1" applyFill="1" applyBorder="1" applyAlignment="1" applyProtection="1">
      <alignment vertical="center"/>
      <protection locked="0"/>
    </xf>
    <xf numFmtId="0" fontId="9" fillId="0" borderId="0" xfId="7" applyFont="1" applyBorder="1" applyAlignment="1" applyProtection="1">
      <alignment vertical="center"/>
      <protection locked="0"/>
    </xf>
    <xf numFmtId="1" fontId="9" fillId="15" borderId="0" xfId="7" applyNumberFormat="1" applyFont="1" applyFill="1" applyBorder="1" applyAlignment="1" applyProtection="1">
      <alignment horizontal="center" vertical="center"/>
      <protection locked="0"/>
    </xf>
    <xf numFmtId="167" fontId="9" fillId="10" borderId="54" xfId="0" applyNumberFormat="1" applyFont="1" applyFill="1" applyBorder="1" applyAlignment="1" applyProtection="1">
      <alignment vertical="center"/>
      <protection locked="0"/>
    </xf>
    <xf numFmtId="167" fontId="9" fillId="16" borderId="54" xfId="0" applyNumberFormat="1" applyFont="1" applyFill="1" applyBorder="1" applyProtection="1">
      <protection locked="0"/>
    </xf>
    <xf numFmtId="167" fontId="9" fillId="15" borderId="0" xfId="0" applyNumberFormat="1" applyFont="1" applyFill="1" applyBorder="1" applyAlignment="1" applyProtection="1">
      <alignment horizontal="left"/>
      <protection locked="0"/>
    </xf>
    <xf numFmtId="0" fontId="14" fillId="9" borderId="53" xfId="0" applyNumberFormat="1" applyFont="1" applyFill="1" applyBorder="1" applyAlignment="1" applyProtection="1">
      <alignment horizontal="left" vertical="center"/>
    </xf>
    <xf numFmtId="0" fontId="14" fillId="9" borderId="32" xfId="0" applyNumberFormat="1" applyFont="1" applyFill="1" applyBorder="1" applyAlignment="1" applyProtection="1">
      <alignment horizontal="left" vertical="center"/>
    </xf>
    <xf numFmtId="0" fontId="7" fillId="0" borderId="0" xfId="0" applyFont="1"/>
    <xf numFmtId="0" fontId="41" fillId="0" borderId="0" xfId="11" applyAlignment="1">
      <alignment vertical="top"/>
    </xf>
    <xf numFmtId="0" fontId="9" fillId="0" borderId="55" xfId="8" applyFont="1" applyFill="1" applyBorder="1" applyAlignment="1" applyProtection="1">
      <alignment horizontal="left" indent="2"/>
    </xf>
    <xf numFmtId="0" fontId="14" fillId="0" borderId="58" xfId="7" applyFont="1" applyFill="1" applyBorder="1" applyAlignment="1" applyProtection="1">
      <alignment horizontal="center"/>
      <protection locked="0"/>
    </xf>
    <xf numFmtId="0" fontId="9" fillId="0" borderId="58" xfId="7" applyFont="1" applyFill="1" applyBorder="1" applyAlignment="1" applyProtection="1">
      <alignment horizontal="center" vertical="center"/>
      <protection locked="0"/>
    </xf>
    <xf numFmtId="0" fontId="9" fillId="23" borderId="0" xfId="7" applyFont="1" applyFill="1"/>
    <xf numFmtId="0" fontId="9" fillId="24" borderId="0" xfId="7" applyFont="1" applyFill="1" applyBorder="1" applyAlignment="1">
      <alignment horizontal="centerContinuous"/>
    </xf>
    <xf numFmtId="170" fontId="9" fillId="24" borderId="2" xfId="7" applyNumberFormat="1" applyFont="1" applyFill="1" applyBorder="1" applyAlignment="1">
      <alignment horizontal="left" vertical="top"/>
    </xf>
    <xf numFmtId="0" fontId="9" fillId="24" borderId="0" xfId="7" applyFont="1" applyFill="1" applyBorder="1" applyAlignment="1">
      <alignment horizontal="centerContinuous" vertical="top"/>
    </xf>
    <xf numFmtId="0" fontId="9" fillId="24" borderId="0" xfId="7" applyFont="1" applyFill="1" applyBorder="1"/>
    <xf numFmtId="0" fontId="9" fillId="24" borderId="0" xfId="7" applyFont="1" applyFill="1" applyBorder="1" applyAlignment="1">
      <alignment vertical="top"/>
    </xf>
    <xf numFmtId="0" fontId="9" fillId="24" borderId="0" xfId="7" applyFont="1" applyFill="1" applyBorder="1" applyAlignment="1">
      <alignment horizontal="left"/>
    </xf>
    <xf numFmtId="167" fontId="9" fillId="24" borderId="0" xfId="7" applyNumberFormat="1" applyFont="1" applyFill="1" applyBorder="1" applyAlignment="1">
      <alignment horizontal="right"/>
    </xf>
    <xf numFmtId="167" fontId="9" fillId="24" borderId="0" xfId="7" applyNumberFormat="1" applyFont="1" applyFill="1" applyBorder="1" applyAlignment="1">
      <alignment horizontal="left"/>
    </xf>
    <xf numFmtId="0" fontId="9" fillId="24" borderId="28" xfId="7" applyFont="1" applyFill="1" applyBorder="1"/>
    <xf numFmtId="0" fontId="9" fillId="24" borderId="3" xfId="7" applyFont="1" applyFill="1" applyBorder="1"/>
    <xf numFmtId="0" fontId="9" fillId="24" borderId="0" xfId="7" applyFont="1" applyFill="1" applyBorder="1" applyAlignment="1">
      <alignment horizontal="center"/>
    </xf>
    <xf numFmtId="0" fontId="9" fillId="24" borderId="4" xfId="7" applyFont="1" applyFill="1" applyBorder="1"/>
    <xf numFmtId="0" fontId="9" fillId="24" borderId="0" xfId="7" applyFont="1" applyFill="1" applyAlignment="1">
      <alignment horizontal="center"/>
    </xf>
    <xf numFmtId="0" fontId="9" fillId="24" borderId="1" xfId="7" applyFont="1" applyFill="1" applyBorder="1" applyAlignment="1">
      <alignment horizontal="centerContinuous" vertical="top"/>
    </xf>
    <xf numFmtId="0" fontId="14" fillId="24" borderId="2" xfId="7" applyFont="1" applyFill="1" applyBorder="1" applyAlignment="1">
      <alignment horizontal="centerContinuous" vertical="top"/>
    </xf>
    <xf numFmtId="0" fontId="9" fillId="24" borderId="0" xfId="7" applyFont="1" applyFill="1"/>
    <xf numFmtId="0" fontId="9" fillId="24" borderId="3" xfId="7" applyFont="1" applyFill="1" applyBorder="1" applyAlignment="1">
      <alignment horizontal="centerContinuous"/>
    </xf>
    <xf numFmtId="0" fontId="14" fillId="24" borderId="0" xfId="7" applyFont="1" applyFill="1" applyBorder="1" applyAlignment="1">
      <alignment horizontal="centerContinuous"/>
    </xf>
    <xf numFmtId="0" fontId="7" fillId="24" borderId="0" xfId="7" applyFont="1" applyFill="1" applyBorder="1" applyAlignment="1">
      <alignment horizontal="centerContinuous" vertical="top"/>
    </xf>
    <xf numFmtId="0" fontId="9" fillId="24" borderId="0" xfId="7" applyFont="1" applyFill="1" applyAlignment="1">
      <alignment vertical="top"/>
    </xf>
    <xf numFmtId="170" fontId="9" fillId="24" borderId="0" xfId="7" applyNumberFormat="1" applyFont="1" applyFill="1" applyBorder="1" applyAlignment="1" applyProtection="1">
      <alignment horizontal="left"/>
      <protection locked="0"/>
    </xf>
    <xf numFmtId="170" fontId="9" fillId="24" borderId="0" xfId="7" applyNumberFormat="1" applyFont="1" applyFill="1" applyBorder="1" applyAlignment="1">
      <alignment horizontal="left"/>
    </xf>
    <xf numFmtId="0" fontId="19" fillId="24" borderId="0" xfId="7" applyFont="1" applyFill="1" applyBorder="1" applyAlignment="1" applyProtection="1">
      <alignment horizontal="centerContinuous"/>
      <protection locked="0"/>
    </xf>
    <xf numFmtId="0" fontId="14" fillId="24" borderId="0" xfId="7" applyFont="1" applyFill="1" applyBorder="1" applyAlignment="1">
      <alignment horizontal="left"/>
    </xf>
    <xf numFmtId="171" fontId="9" fillId="24" borderId="0" xfId="7" applyNumberFormat="1" applyFont="1" applyFill="1" applyBorder="1" applyAlignment="1">
      <alignment horizontal="center" vertical="top"/>
    </xf>
    <xf numFmtId="0" fontId="9" fillId="24" borderId="0" xfId="7" applyFont="1" applyFill="1" applyBorder="1" applyAlignment="1">
      <alignment horizontal="center" vertical="top"/>
    </xf>
    <xf numFmtId="165" fontId="9" fillId="24" borderId="0" xfId="7" applyNumberFormat="1" applyFont="1" applyFill="1" applyBorder="1" applyAlignment="1" applyProtection="1">
      <alignment horizontal="center"/>
      <protection locked="0"/>
    </xf>
    <xf numFmtId="0" fontId="9" fillId="24" borderId="0" xfId="7" applyFont="1" applyFill="1" applyBorder="1" applyAlignment="1">
      <alignment vertical="center"/>
    </xf>
    <xf numFmtId="170" fontId="9" fillId="24" borderId="0" xfId="7" applyNumberFormat="1" applyFont="1" applyFill="1" applyBorder="1"/>
    <xf numFmtId="0" fontId="9" fillId="24" borderId="0" xfId="7" applyFont="1" applyFill="1" applyBorder="1" applyAlignment="1">
      <alignment horizontal="centerContinuous" wrapText="1"/>
    </xf>
    <xf numFmtId="0" fontId="9" fillId="24" borderId="0" xfId="7" applyFont="1" applyFill="1" applyBorder="1" applyAlignment="1">
      <alignment horizontal="centerContinuous" vertical="center" wrapText="1"/>
    </xf>
    <xf numFmtId="0" fontId="9" fillId="24" borderId="0" xfId="7" applyFont="1" applyFill="1" applyBorder="1" applyAlignment="1" applyProtection="1">
      <alignment vertical="top"/>
    </xf>
    <xf numFmtId="0" fontId="16" fillId="24" borderId="0" xfId="8" applyFont="1" applyFill="1" applyBorder="1"/>
    <xf numFmtId="171" fontId="9" fillId="24" borderId="0" xfId="7" applyNumberFormat="1" applyFont="1" applyFill="1" applyBorder="1" applyAlignment="1">
      <alignment horizontal="center"/>
    </xf>
    <xf numFmtId="0" fontId="9" fillId="24" borderId="0" xfId="7" applyFont="1" applyFill="1" applyBorder="1" applyAlignment="1" applyProtection="1">
      <alignment horizontal="center" vertical="center"/>
    </xf>
    <xf numFmtId="170" fontId="9" fillId="24" borderId="0" xfId="7" applyNumberFormat="1" applyFont="1" applyFill="1" applyBorder="1" applyAlignment="1">
      <alignment horizontal="center" vertical="center"/>
    </xf>
    <xf numFmtId="1" fontId="9" fillId="24" borderId="0" xfId="7" applyNumberFormat="1" applyFont="1" applyFill="1" applyBorder="1" applyAlignment="1">
      <alignment vertical="center"/>
    </xf>
    <xf numFmtId="165" fontId="9" fillId="24" borderId="0" xfId="7" applyNumberFormat="1" applyFont="1" applyFill="1" applyBorder="1" applyAlignment="1" applyProtection="1">
      <alignment horizontal="center" vertical="center"/>
    </xf>
    <xf numFmtId="1" fontId="9" fillId="24" borderId="0" xfId="7" applyNumberFormat="1" applyFont="1" applyFill="1" applyBorder="1" applyAlignment="1" applyProtection="1">
      <alignment horizontal="center" vertical="center"/>
    </xf>
    <xf numFmtId="0" fontId="9" fillId="24" borderId="0" xfId="7" applyFont="1" applyFill="1" applyBorder="1" applyAlignment="1">
      <alignment horizontal="center" vertical="center"/>
    </xf>
    <xf numFmtId="0" fontId="14" fillId="24" borderId="0" xfId="7" applyFont="1" applyFill="1" applyBorder="1" applyAlignment="1">
      <alignment horizontal="center" vertical="center"/>
    </xf>
    <xf numFmtId="167" fontId="9" fillId="24" borderId="0" xfId="7" applyNumberFormat="1" applyFont="1" applyFill="1" applyBorder="1" applyAlignment="1">
      <alignment vertical="center"/>
    </xf>
    <xf numFmtId="168" fontId="9" fillId="24" borderId="30" xfId="7" applyNumberFormat="1" applyFont="1" applyFill="1" applyBorder="1" applyAlignment="1">
      <alignment horizontal="center" vertical="top"/>
    </xf>
    <xf numFmtId="0" fontId="33" fillId="24" borderId="59" xfId="7" applyFont="1" applyFill="1" applyBorder="1"/>
    <xf numFmtId="0" fontId="9" fillId="24" borderId="59" xfId="7" applyFont="1" applyFill="1" applyBorder="1"/>
    <xf numFmtId="0" fontId="18" fillId="24" borderId="59" xfId="7" applyFont="1" applyFill="1" applyBorder="1"/>
    <xf numFmtId="0" fontId="9" fillId="24" borderId="59" xfId="7" applyFont="1" applyFill="1" applyBorder="1" applyAlignment="1">
      <alignment horizontal="centerContinuous"/>
    </xf>
    <xf numFmtId="164" fontId="9" fillId="24" borderId="59" xfId="1" applyFont="1" applyFill="1" applyBorder="1" applyAlignment="1">
      <alignment horizontal="centerContinuous"/>
    </xf>
    <xf numFmtId="0" fontId="14" fillId="24" borderId="59" xfId="0" applyFont="1" applyFill="1" applyBorder="1" applyAlignment="1">
      <alignment horizontal="center" vertical="center"/>
    </xf>
    <xf numFmtId="0" fontId="14" fillId="24" borderId="59" xfId="0" applyFont="1" applyFill="1" applyBorder="1" applyAlignment="1">
      <alignment horizontal="left" vertical="center"/>
    </xf>
    <xf numFmtId="168" fontId="9" fillId="24" borderId="59" xfId="7" applyNumberFormat="1" applyFont="1" applyFill="1" applyBorder="1" applyAlignment="1">
      <alignment horizontal="center" vertical="top"/>
    </xf>
    <xf numFmtId="0" fontId="14" fillId="24" borderId="59" xfId="7" applyFont="1" applyFill="1" applyBorder="1" applyAlignment="1">
      <alignment horizontal="left"/>
    </xf>
    <xf numFmtId="168" fontId="9" fillId="24" borderId="59" xfId="7" applyNumberFormat="1" applyFont="1" applyFill="1" applyBorder="1" applyAlignment="1">
      <alignment vertical="top"/>
    </xf>
    <xf numFmtId="0" fontId="9" fillId="24" borderId="6" xfId="4" applyFont="1" applyFill="1" applyBorder="1"/>
    <xf numFmtId="0" fontId="9" fillId="24" borderId="0" xfId="9" applyFont="1" applyFill="1"/>
    <xf numFmtId="0" fontId="14" fillId="24" borderId="0" xfId="7" applyFont="1" applyFill="1" applyBorder="1" applyAlignment="1">
      <alignment vertical="center"/>
    </xf>
    <xf numFmtId="165" fontId="14" fillId="24" borderId="0" xfId="7" applyNumberFormat="1" applyFont="1" applyFill="1" applyBorder="1" applyAlignment="1">
      <alignment horizontal="center" vertical="center"/>
    </xf>
    <xf numFmtId="0" fontId="14" fillId="24" borderId="0" xfId="7" applyFont="1" applyFill="1" applyBorder="1" applyAlignment="1">
      <alignment horizontal="left" vertical="center"/>
    </xf>
    <xf numFmtId="170" fontId="9" fillId="24" borderId="0" xfId="7" applyNumberFormat="1" applyFont="1" applyFill="1" applyBorder="1" applyAlignment="1">
      <alignment vertical="center"/>
    </xf>
    <xf numFmtId="167" fontId="9" fillId="24" borderId="0" xfId="7" applyNumberFormat="1" applyFont="1" applyFill="1" applyBorder="1" applyAlignment="1">
      <alignment horizontal="left" vertical="center"/>
    </xf>
    <xf numFmtId="0" fontId="9" fillId="24" borderId="0" xfId="7" applyFont="1" applyFill="1" applyBorder="1" applyAlignment="1">
      <alignment horizontal="left" vertical="center"/>
    </xf>
    <xf numFmtId="0" fontId="18" fillId="24" borderId="0" xfId="7" applyFont="1" applyFill="1" applyBorder="1" applyAlignment="1">
      <alignment horizontal="left" vertical="center"/>
    </xf>
    <xf numFmtId="0" fontId="9" fillId="24" borderId="0" xfId="7" applyFont="1" applyFill="1" applyBorder="1" applyAlignment="1" applyProtection="1">
      <alignment horizontal="left" vertical="center"/>
    </xf>
    <xf numFmtId="1" fontId="9" fillId="24" borderId="3" xfId="7" applyNumberFormat="1" applyFont="1" applyFill="1" applyBorder="1" applyAlignment="1">
      <alignment horizontal="center"/>
    </xf>
    <xf numFmtId="170" fontId="9" fillId="24" borderId="3" xfId="7" applyNumberFormat="1" applyFont="1" applyFill="1" applyBorder="1" applyAlignment="1">
      <alignment horizontal="center" vertical="top"/>
    </xf>
    <xf numFmtId="0" fontId="20" fillId="24" borderId="0" xfId="9" applyFont="1" applyFill="1" applyBorder="1" applyAlignment="1">
      <alignment vertical="center"/>
    </xf>
    <xf numFmtId="0" fontId="9" fillId="24" borderId="3" xfId="7" applyFont="1" applyFill="1" applyBorder="1" applyAlignment="1">
      <alignment vertical="top"/>
    </xf>
    <xf numFmtId="0" fontId="9" fillId="24" borderId="3" xfId="7" applyFont="1" applyFill="1" applyBorder="1" applyAlignment="1"/>
    <xf numFmtId="0" fontId="9" fillId="24" borderId="3" xfId="7" applyFont="1" applyFill="1" applyBorder="1" applyAlignment="1">
      <alignment horizontal="center"/>
    </xf>
    <xf numFmtId="0" fontId="9" fillId="24" borderId="3" xfId="7" applyFont="1" applyFill="1" applyBorder="1" applyAlignment="1">
      <alignment horizontal="left"/>
    </xf>
    <xf numFmtId="169" fontId="9" fillId="24" borderId="3" xfId="7" applyNumberFormat="1" applyFont="1" applyFill="1" applyBorder="1" applyAlignment="1">
      <alignment horizontal="center"/>
    </xf>
    <xf numFmtId="0" fontId="9" fillId="24" borderId="3" xfId="7" applyFont="1" applyFill="1" applyBorder="1" applyAlignment="1">
      <alignment horizontal="center" wrapText="1"/>
    </xf>
    <xf numFmtId="168" fontId="9" fillId="24" borderId="3" xfId="7" applyNumberFormat="1" applyFont="1" applyFill="1" applyBorder="1" applyAlignment="1">
      <alignment horizontal="center" vertical="top"/>
    </xf>
    <xf numFmtId="9" fontId="14" fillId="24" borderId="0" xfId="2" applyFont="1" applyFill="1" applyBorder="1" applyAlignment="1">
      <alignment horizontal="left" vertical="center"/>
    </xf>
    <xf numFmtId="0" fontId="9" fillId="24" borderId="0" xfId="7" applyFont="1" applyFill="1" applyBorder="1" applyAlignment="1" applyProtection="1">
      <alignment vertical="center"/>
    </xf>
    <xf numFmtId="0" fontId="14" fillId="25" borderId="52" xfId="7" applyFont="1" applyFill="1" applyBorder="1" applyAlignment="1">
      <alignment horizontal="left" indent="3"/>
    </xf>
    <xf numFmtId="0" fontId="14" fillId="25" borderId="70" xfId="7" applyFont="1" applyFill="1" applyBorder="1" applyAlignment="1">
      <alignment horizontal="left" indent="3"/>
    </xf>
    <xf numFmtId="0" fontId="9" fillId="25" borderId="41" xfId="7" applyFont="1" applyFill="1" applyBorder="1" applyAlignment="1">
      <alignment horizontal="centerContinuous"/>
    </xf>
    <xf numFmtId="0" fontId="14" fillId="25" borderId="54" xfId="7" applyFont="1" applyFill="1" applyBorder="1" applyAlignment="1">
      <alignment horizontal="left" indent="3"/>
    </xf>
    <xf numFmtId="0" fontId="14" fillId="25" borderId="0" xfId="7" applyFont="1" applyFill="1" applyBorder="1" applyAlignment="1">
      <alignment horizontal="left" indent="3"/>
    </xf>
    <xf numFmtId="0" fontId="9" fillId="25" borderId="55" xfId="7" applyFont="1" applyFill="1" applyBorder="1" applyAlignment="1">
      <alignment horizontal="centerContinuous"/>
    </xf>
    <xf numFmtId="0" fontId="14" fillId="25" borderId="56" xfId="7" applyFont="1" applyFill="1" applyBorder="1" applyAlignment="1">
      <alignment horizontal="left" indent="3"/>
    </xf>
    <xf numFmtId="0" fontId="14" fillId="25" borderId="28" xfId="7" applyFont="1" applyFill="1" applyBorder="1" applyAlignment="1">
      <alignment horizontal="left" indent="3"/>
    </xf>
    <xf numFmtId="0" fontId="9" fillId="25" borderId="57" xfId="7" applyFont="1" applyFill="1" applyBorder="1" applyAlignment="1">
      <alignment horizontal="centerContinuous"/>
    </xf>
    <xf numFmtId="0" fontId="9" fillId="25" borderId="38" xfId="7" applyFont="1" applyFill="1" applyBorder="1" applyAlignment="1">
      <alignment vertical="top"/>
    </xf>
    <xf numFmtId="0" fontId="9" fillId="25" borderId="52" xfId="7" applyFont="1" applyFill="1" applyBorder="1" applyAlignment="1">
      <alignment vertical="top"/>
    </xf>
    <xf numFmtId="0" fontId="9" fillId="25" borderId="40" xfId="7" applyFont="1" applyFill="1" applyBorder="1" applyAlignment="1">
      <alignment horizontal="center" vertical="top"/>
    </xf>
    <xf numFmtId="0" fontId="9" fillId="25" borderId="41" xfId="7" applyFont="1" applyFill="1" applyBorder="1" applyAlignment="1">
      <alignment horizontal="center" vertical="top"/>
    </xf>
    <xf numFmtId="0" fontId="9" fillId="25" borderId="39" xfId="7" applyFont="1" applyFill="1" applyBorder="1" applyAlignment="1">
      <alignment horizontal="left" vertical="top"/>
    </xf>
    <xf numFmtId="0" fontId="9" fillId="25" borderId="42" xfId="7" applyFont="1" applyFill="1" applyBorder="1" applyAlignment="1">
      <alignment horizontal="center" vertical="top"/>
    </xf>
    <xf numFmtId="0" fontId="9" fillId="25" borderId="43" xfId="7" applyFont="1" applyFill="1" applyBorder="1" applyAlignment="1">
      <alignment horizontal="center" vertical="top"/>
    </xf>
    <xf numFmtId="0" fontId="9" fillId="25" borderId="45" xfId="7" applyFont="1" applyFill="1" applyBorder="1" applyAlignment="1">
      <alignment horizontal="center"/>
    </xf>
    <xf numFmtId="0" fontId="9" fillId="25" borderId="46" xfId="7" applyFont="1" applyFill="1" applyBorder="1" applyAlignment="1">
      <alignment horizontal="center"/>
    </xf>
    <xf numFmtId="0" fontId="22" fillId="25" borderId="44" xfId="7" applyFont="1" applyFill="1" applyBorder="1" applyAlignment="1">
      <alignment horizontal="center" wrapText="1"/>
    </xf>
    <xf numFmtId="0" fontId="9" fillId="25" borderId="48" xfId="7" applyFont="1" applyFill="1" applyBorder="1" applyAlignment="1">
      <alignment horizontal="center"/>
    </xf>
    <xf numFmtId="0" fontId="9" fillId="25" borderId="49" xfId="7" applyFont="1" applyFill="1" applyBorder="1" applyAlignment="1">
      <alignment horizontal="center"/>
    </xf>
    <xf numFmtId="0" fontId="9" fillId="25" borderId="47" xfId="7" applyFont="1" applyFill="1" applyBorder="1" applyAlignment="1">
      <alignment horizontal="center"/>
    </xf>
    <xf numFmtId="0" fontId="9" fillId="25" borderId="50" xfId="7" applyFont="1" applyFill="1" applyBorder="1" applyAlignment="1">
      <alignment horizontal="center"/>
    </xf>
    <xf numFmtId="0" fontId="14" fillId="25" borderId="32" xfId="7" applyFont="1" applyFill="1" applyBorder="1" applyAlignment="1">
      <alignment horizontal="centerContinuous"/>
    </xf>
    <xf numFmtId="0" fontId="9" fillId="25" borderId="20" xfId="7" applyFont="1" applyFill="1" applyBorder="1" applyAlignment="1">
      <alignment horizontal="centerContinuous"/>
    </xf>
    <xf numFmtId="0" fontId="9" fillId="25" borderId="23" xfId="7" applyFont="1" applyFill="1" applyBorder="1" applyAlignment="1">
      <alignment horizontal="centerContinuous"/>
    </xf>
    <xf numFmtId="0" fontId="9" fillId="25" borderId="37" xfId="7" applyFont="1" applyFill="1" applyBorder="1" applyAlignment="1">
      <alignment horizontal="center" vertical="center"/>
    </xf>
    <xf numFmtId="0" fontId="9" fillId="25" borderId="110" xfId="7" applyFont="1" applyFill="1" applyBorder="1" applyAlignment="1">
      <alignment horizontal="center" vertical="center"/>
    </xf>
    <xf numFmtId="0" fontId="9" fillId="25" borderId="24" xfId="7" applyFont="1" applyFill="1" applyBorder="1" applyAlignment="1">
      <alignment horizontal="center" vertical="center"/>
    </xf>
    <xf numFmtId="0" fontId="9" fillId="25" borderId="34" xfId="7" applyFont="1" applyFill="1" applyBorder="1" applyAlignment="1">
      <alignment horizontal="center" vertical="center"/>
    </xf>
    <xf numFmtId="0" fontId="9" fillId="25" borderId="16" xfId="7" applyFont="1" applyFill="1" applyBorder="1" applyAlignment="1">
      <alignment horizontal="center" vertical="center"/>
    </xf>
    <xf numFmtId="0" fontId="23" fillId="25" borderId="16" xfId="7" quotePrefix="1" applyFont="1" applyFill="1" applyBorder="1" applyAlignment="1">
      <alignment horizontal="center" vertical="center" wrapText="1"/>
    </xf>
    <xf numFmtId="169" fontId="9" fillId="25" borderId="16" xfId="7" applyNumberFormat="1" applyFont="1" applyFill="1" applyBorder="1" applyAlignment="1">
      <alignment horizontal="center" vertical="center" wrapText="1"/>
    </xf>
    <xf numFmtId="0" fontId="9" fillId="25" borderId="18" xfId="7" applyFont="1" applyFill="1" applyBorder="1" applyAlignment="1">
      <alignment horizontal="center" vertical="center"/>
    </xf>
    <xf numFmtId="2" fontId="9" fillId="25" borderId="36" xfId="7" applyNumberFormat="1" applyFont="1" applyFill="1" applyBorder="1" applyAlignment="1">
      <alignment horizontal="center" vertical="center"/>
    </xf>
    <xf numFmtId="0" fontId="9" fillId="25" borderId="25" xfId="7" applyFont="1" applyFill="1" applyBorder="1" applyAlignment="1">
      <alignment horizontal="center" vertical="center"/>
    </xf>
    <xf numFmtId="165" fontId="9" fillId="25" borderId="32" xfId="7" applyNumberFormat="1" applyFont="1" applyFill="1" applyBorder="1" applyAlignment="1">
      <alignment horizontal="center" vertical="center"/>
    </xf>
    <xf numFmtId="1" fontId="9" fillId="25" borderId="43" xfId="7" applyNumberFormat="1" applyFont="1" applyFill="1" applyBorder="1" applyAlignment="1">
      <alignment horizontal="center" vertical="center"/>
    </xf>
    <xf numFmtId="165" fontId="9" fillId="25" borderId="21" xfId="7" applyNumberFormat="1" applyFont="1" applyFill="1" applyBorder="1" applyAlignment="1">
      <alignment horizontal="center" vertical="center"/>
    </xf>
    <xf numFmtId="165" fontId="9" fillId="25" borderId="36" xfId="7" applyNumberFormat="1" applyFont="1" applyFill="1" applyBorder="1" applyAlignment="1">
      <alignment horizontal="center" vertical="center"/>
    </xf>
    <xf numFmtId="0" fontId="9" fillId="25" borderId="4" xfId="7" applyFont="1" applyFill="1" applyBorder="1" applyAlignment="1" applyProtection="1">
      <alignment horizontal="centerContinuous"/>
    </xf>
    <xf numFmtId="0" fontId="9" fillId="25" borderId="4" xfId="7" applyFont="1" applyFill="1" applyBorder="1" applyAlignment="1">
      <alignment horizontal="centerContinuous"/>
    </xf>
    <xf numFmtId="0" fontId="9" fillId="25" borderId="20" xfId="7" applyFont="1" applyFill="1" applyBorder="1" applyAlignment="1" applyProtection="1">
      <alignment horizontal="center" vertical="center" wrapText="1"/>
    </xf>
    <xf numFmtId="0" fontId="9" fillId="25" borderId="33" xfId="7" applyFont="1" applyFill="1" applyBorder="1" applyAlignment="1">
      <alignment horizontal="center" vertical="center" wrapText="1"/>
    </xf>
    <xf numFmtId="0" fontId="9" fillId="25" borderId="32" xfId="7" applyFont="1" applyFill="1" applyBorder="1" applyAlignment="1">
      <alignment horizontal="center" vertical="center" wrapText="1"/>
    </xf>
    <xf numFmtId="0" fontId="9" fillId="25" borderId="20" xfId="7" applyFont="1" applyFill="1" applyBorder="1" applyAlignment="1">
      <alignment horizontal="center" vertical="center" wrapText="1"/>
    </xf>
    <xf numFmtId="0" fontId="9" fillId="25" borderId="65" xfId="7" applyFont="1" applyFill="1" applyBorder="1" applyAlignment="1">
      <alignment horizontal="center" vertical="center" wrapText="1"/>
    </xf>
    <xf numFmtId="0" fontId="9" fillId="25" borderId="66" xfId="7" applyFont="1" applyFill="1" applyBorder="1" applyAlignment="1">
      <alignment horizontal="center" vertical="center" wrapText="1"/>
    </xf>
    <xf numFmtId="0" fontId="9" fillId="25" borderId="19" xfId="7" applyFont="1" applyFill="1" applyBorder="1" applyAlignment="1">
      <alignment horizontal="center" vertical="center" wrapText="1"/>
    </xf>
    <xf numFmtId="0" fontId="9" fillId="25" borderId="22" xfId="7" applyFont="1" applyFill="1" applyBorder="1" applyAlignment="1">
      <alignment horizontal="center" vertical="center" wrapText="1"/>
    </xf>
    <xf numFmtId="0" fontId="9" fillId="25" borderId="76" xfId="7" applyFont="1" applyFill="1" applyBorder="1" applyAlignment="1">
      <alignment horizontal="center" vertical="center" wrapText="1"/>
    </xf>
    <xf numFmtId="0" fontId="9" fillId="25" borderId="16" xfId="7" applyFont="1" applyFill="1" applyBorder="1" applyAlignment="1" applyProtection="1">
      <alignment horizontal="center" vertical="center"/>
    </xf>
    <xf numFmtId="0" fontId="9" fillId="25" borderId="67" xfId="7" applyFont="1" applyFill="1" applyBorder="1" applyAlignment="1" applyProtection="1">
      <alignment horizontal="center" vertical="center"/>
    </xf>
    <xf numFmtId="0" fontId="9" fillId="25" borderId="67" xfId="7" applyFont="1" applyFill="1" applyBorder="1" applyAlignment="1">
      <alignment horizontal="center" vertical="center"/>
    </xf>
    <xf numFmtId="0" fontId="9" fillId="25" borderId="17" xfId="7" applyFont="1" applyFill="1" applyBorder="1" applyAlignment="1">
      <alignment horizontal="center" vertical="center"/>
    </xf>
    <xf numFmtId="0" fontId="9" fillId="25" borderId="75" xfId="7" applyFont="1" applyFill="1" applyBorder="1" applyAlignment="1">
      <alignment horizontal="center" vertical="center"/>
    </xf>
    <xf numFmtId="1" fontId="9" fillId="25" borderId="20" xfId="7" applyNumberFormat="1" applyFont="1" applyFill="1" applyBorder="1" applyAlignment="1" applyProtection="1">
      <alignment horizontal="center" vertical="center"/>
    </xf>
    <xf numFmtId="0" fontId="9" fillId="25" borderId="20" xfId="7" applyFont="1" applyFill="1" applyBorder="1" applyAlignment="1" applyProtection="1">
      <alignment horizontal="center" vertical="center"/>
    </xf>
    <xf numFmtId="2" fontId="9" fillId="25" borderId="20" xfId="7" applyNumberFormat="1" applyFont="1" applyFill="1" applyBorder="1" applyAlignment="1" applyProtection="1">
      <alignment horizontal="center" vertical="center"/>
    </xf>
    <xf numFmtId="2" fontId="9" fillId="25" borderId="32" xfId="7" applyNumberFormat="1" applyFont="1" applyFill="1" applyBorder="1" applyAlignment="1" applyProtection="1">
      <alignment horizontal="center" vertical="center"/>
    </xf>
    <xf numFmtId="165" fontId="9" fillId="25" borderId="20" xfId="7" applyNumberFormat="1" applyFont="1" applyFill="1" applyBorder="1" applyAlignment="1">
      <alignment horizontal="center" vertical="center"/>
    </xf>
    <xf numFmtId="1" fontId="9" fillId="25" borderId="20" xfId="7" applyNumberFormat="1" applyFont="1" applyFill="1" applyBorder="1" applyAlignment="1">
      <alignment horizontal="center" vertical="center"/>
    </xf>
    <xf numFmtId="165" fontId="9" fillId="25" borderId="65" xfId="7" applyNumberFormat="1" applyFont="1" applyFill="1" applyBorder="1" applyAlignment="1">
      <alignment horizontal="center" vertical="center"/>
    </xf>
    <xf numFmtId="1" fontId="9" fillId="25" borderId="65" xfId="7" applyNumberFormat="1" applyFont="1" applyFill="1" applyBorder="1" applyAlignment="1">
      <alignment horizontal="center" vertical="center"/>
    </xf>
    <xf numFmtId="1" fontId="9" fillId="25" borderId="33" xfId="7" applyNumberFormat="1" applyFont="1" applyFill="1" applyBorder="1" applyAlignment="1">
      <alignment horizontal="center" vertical="center"/>
    </xf>
    <xf numFmtId="1" fontId="9" fillId="25" borderId="76" xfId="7" applyNumberFormat="1" applyFont="1" applyFill="1" applyBorder="1" applyAlignment="1">
      <alignment horizontal="center" vertical="center"/>
    </xf>
    <xf numFmtId="1" fontId="9" fillId="25" borderId="19" xfId="7" applyNumberFormat="1" applyFont="1" applyFill="1" applyBorder="1" applyAlignment="1" applyProtection="1">
      <alignment horizontal="center" vertical="center"/>
    </xf>
    <xf numFmtId="0" fontId="9" fillId="25" borderId="19" xfId="7" applyFont="1" applyFill="1" applyBorder="1" applyAlignment="1" applyProtection="1">
      <alignment horizontal="center" vertical="center"/>
    </xf>
    <xf numFmtId="2" fontId="9" fillId="25" borderId="19" xfId="7" applyNumberFormat="1" applyFont="1" applyFill="1" applyBorder="1" applyAlignment="1" applyProtection="1">
      <alignment horizontal="center" vertical="center"/>
    </xf>
    <xf numFmtId="2" fontId="9" fillId="25" borderId="37" xfId="7" applyNumberFormat="1" applyFont="1" applyFill="1" applyBorder="1" applyAlignment="1" applyProtection="1">
      <alignment horizontal="center" vertical="center"/>
    </xf>
    <xf numFmtId="165" fontId="9" fillId="25" borderId="19" xfId="7" applyNumberFormat="1" applyFont="1" applyFill="1" applyBorder="1" applyAlignment="1">
      <alignment horizontal="center" vertical="center"/>
    </xf>
    <xf numFmtId="1" fontId="9" fillId="25" borderId="19" xfId="7" applyNumberFormat="1" applyFont="1" applyFill="1" applyBorder="1" applyAlignment="1">
      <alignment horizontal="center" vertical="center"/>
    </xf>
    <xf numFmtId="165" fontId="9" fillId="25" borderId="66" xfId="7" applyNumberFormat="1" applyFont="1" applyFill="1" applyBorder="1" applyAlignment="1">
      <alignment horizontal="center" vertical="center"/>
    </xf>
    <xf numFmtId="1" fontId="9" fillId="25" borderId="66" xfId="7" applyNumberFormat="1" applyFont="1" applyFill="1" applyBorder="1" applyAlignment="1">
      <alignment horizontal="center" vertical="center"/>
    </xf>
    <xf numFmtId="1" fontId="9" fillId="25" borderId="22" xfId="7" applyNumberFormat="1" applyFont="1" applyFill="1" applyBorder="1" applyAlignment="1">
      <alignment horizontal="center" vertical="center"/>
    </xf>
    <xf numFmtId="1" fontId="9" fillId="25" borderId="74" xfId="7" applyNumberFormat="1" applyFont="1" applyFill="1" applyBorder="1" applyAlignment="1">
      <alignment horizontal="center" vertical="center"/>
    </xf>
    <xf numFmtId="1" fontId="9" fillId="25" borderId="16" xfId="7" applyNumberFormat="1" applyFont="1" applyFill="1" applyBorder="1" applyAlignment="1" applyProtection="1">
      <alignment horizontal="center" vertical="center"/>
    </xf>
    <xf numFmtId="2" fontId="9" fillId="25" borderId="16" xfId="7" applyNumberFormat="1" applyFont="1" applyFill="1" applyBorder="1" applyAlignment="1" applyProtection="1">
      <alignment horizontal="center" vertical="center"/>
    </xf>
    <xf numFmtId="2" fontId="9" fillId="25" borderId="34" xfId="7" applyNumberFormat="1" applyFont="1" applyFill="1" applyBorder="1" applyAlignment="1" applyProtection="1">
      <alignment horizontal="center" vertical="center"/>
    </xf>
    <xf numFmtId="165" fontId="9" fillId="25" borderId="16" xfId="7" applyNumberFormat="1" applyFont="1" applyFill="1" applyBorder="1" applyAlignment="1">
      <alignment horizontal="center" vertical="center"/>
    </xf>
    <xf numFmtId="1" fontId="9" fillId="25" borderId="16" xfId="7" applyNumberFormat="1" applyFont="1" applyFill="1" applyBorder="1" applyAlignment="1">
      <alignment horizontal="center" vertical="center"/>
    </xf>
    <xf numFmtId="165" fontId="9" fillId="25" borderId="67" xfId="7" applyNumberFormat="1" applyFont="1" applyFill="1" applyBorder="1" applyAlignment="1">
      <alignment horizontal="center" vertical="center"/>
    </xf>
    <xf numFmtId="1" fontId="9" fillId="25" borderId="67" xfId="7" applyNumberFormat="1" applyFont="1" applyFill="1" applyBorder="1" applyAlignment="1">
      <alignment horizontal="center" vertical="center"/>
    </xf>
    <xf numFmtId="1" fontId="9" fillId="25" borderId="17" xfId="7" applyNumberFormat="1" applyFont="1" applyFill="1" applyBorder="1" applyAlignment="1">
      <alignment horizontal="center" vertical="center"/>
    </xf>
    <xf numFmtId="1" fontId="9" fillId="25" borderId="75" xfId="7" applyNumberFormat="1" applyFont="1" applyFill="1" applyBorder="1" applyAlignment="1">
      <alignment horizontal="center" vertical="center"/>
    </xf>
    <xf numFmtId="0" fontId="9" fillId="25" borderId="31" xfId="7" applyFont="1" applyFill="1" applyBorder="1" applyAlignment="1" applyProtection="1">
      <alignment horizontal="centerContinuous"/>
    </xf>
    <xf numFmtId="0" fontId="9" fillId="25" borderId="32" xfId="7" applyFont="1" applyFill="1" applyBorder="1" applyAlignment="1" applyProtection="1">
      <alignment horizontal="center" vertical="center" wrapText="1"/>
    </xf>
    <xf numFmtId="0" fontId="9" fillId="25" borderId="34" xfId="7" applyFont="1" applyFill="1" applyBorder="1" applyAlignment="1" applyProtection="1">
      <alignment horizontal="center" vertical="center"/>
    </xf>
    <xf numFmtId="165" fontId="9" fillId="25" borderId="32" xfId="7" applyNumberFormat="1" applyFont="1" applyFill="1" applyBorder="1" applyAlignment="1" applyProtection="1">
      <alignment horizontal="center" vertical="center"/>
    </xf>
    <xf numFmtId="165" fontId="9" fillId="25" borderId="37" xfId="7" applyNumberFormat="1" applyFont="1" applyFill="1" applyBorder="1" applyAlignment="1" applyProtection="1">
      <alignment horizontal="center" vertical="center"/>
    </xf>
    <xf numFmtId="165" fontId="9" fillId="25" borderId="34" xfId="7" applyNumberFormat="1" applyFont="1" applyFill="1" applyBorder="1" applyAlignment="1" applyProtection="1">
      <alignment horizontal="center" vertical="center"/>
    </xf>
    <xf numFmtId="165" fontId="9" fillId="25" borderId="76" xfId="7" applyNumberFormat="1" applyFont="1" applyFill="1" applyBorder="1" applyAlignment="1" applyProtection="1">
      <alignment horizontal="center" vertical="center"/>
    </xf>
    <xf numFmtId="165" fontId="9" fillId="25" borderId="74" xfId="7" applyNumberFormat="1" applyFont="1" applyFill="1" applyBorder="1" applyAlignment="1" applyProtection="1">
      <alignment horizontal="center" vertical="center"/>
    </xf>
    <xf numFmtId="165" fontId="9" fillId="25" borderId="75" xfId="7" applyNumberFormat="1" applyFont="1" applyFill="1" applyBorder="1" applyAlignment="1" applyProtection="1">
      <alignment horizontal="center" vertical="center"/>
    </xf>
    <xf numFmtId="0" fontId="9" fillId="25" borderId="41" xfId="7" applyFont="1" applyFill="1" applyBorder="1" applyAlignment="1">
      <alignment vertical="center"/>
    </xf>
    <xf numFmtId="0" fontId="9" fillId="25" borderId="76" xfId="7" applyFont="1" applyFill="1" applyBorder="1" applyAlignment="1">
      <alignment horizontal="center" vertical="center"/>
    </xf>
    <xf numFmtId="0" fontId="9" fillId="25" borderId="58" xfId="7" applyFont="1" applyFill="1" applyBorder="1" applyAlignment="1">
      <alignment horizontal="center" vertical="center"/>
    </xf>
    <xf numFmtId="0" fontId="9" fillId="25" borderId="52" xfId="7" applyFont="1" applyFill="1" applyBorder="1" applyAlignment="1">
      <alignment vertical="center"/>
    </xf>
    <xf numFmtId="0" fontId="9" fillId="25" borderId="38" xfId="7" applyFont="1" applyFill="1" applyBorder="1" applyAlignment="1">
      <alignment vertical="center"/>
    </xf>
    <xf numFmtId="167" fontId="9" fillId="25" borderId="41" xfId="7" applyNumberFormat="1" applyFont="1" applyFill="1" applyBorder="1" applyAlignment="1">
      <alignment vertical="center"/>
    </xf>
    <xf numFmtId="0" fontId="9" fillId="25" borderId="56" xfId="7" applyFont="1" applyFill="1" applyBorder="1" applyAlignment="1">
      <alignment vertical="center"/>
    </xf>
    <xf numFmtId="0" fontId="9" fillId="25" borderId="28" xfId="7" applyFont="1" applyFill="1" applyBorder="1" applyAlignment="1">
      <alignment vertical="center"/>
    </xf>
    <xf numFmtId="167" fontId="9" fillId="25" borderId="57" xfId="7" applyNumberFormat="1" applyFont="1" applyFill="1" applyBorder="1" applyAlignment="1">
      <alignment vertical="center"/>
    </xf>
    <xf numFmtId="0" fontId="9" fillId="25" borderId="31" xfId="7" applyFont="1" applyFill="1" applyBorder="1" applyAlignment="1">
      <alignment vertical="center"/>
    </xf>
    <xf numFmtId="0" fontId="9" fillId="25" borderId="4" xfId="7" applyFont="1" applyFill="1" applyBorder="1" applyAlignment="1">
      <alignment vertical="center"/>
    </xf>
    <xf numFmtId="1" fontId="9" fillId="25" borderId="4" xfId="7" applyNumberFormat="1" applyFont="1" applyFill="1" applyBorder="1" applyAlignment="1" applyProtection="1">
      <alignment horizontal="center" vertical="center"/>
    </xf>
    <xf numFmtId="1" fontId="9" fillId="25" borderId="15" xfId="7" applyNumberFormat="1" applyFont="1" applyFill="1" applyBorder="1" applyAlignment="1" applyProtection="1">
      <alignment horizontal="center" vertical="center"/>
    </xf>
    <xf numFmtId="1" fontId="9" fillId="25" borderId="21" xfId="7" applyNumberFormat="1" applyFont="1" applyFill="1" applyBorder="1" applyAlignment="1">
      <alignment horizontal="center" vertical="center"/>
    </xf>
    <xf numFmtId="1" fontId="9" fillId="25" borderId="4" xfId="7" applyNumberFormat="1" applyFont="1" applyFill="1" applyBorder="1" applyAlignment="1">
      <alignment horizontal="center" vertical="center"/>
    </xf>
    <xf numFmtId="1" fontId="9" fillId="25" borderId="110" xfId="7" applyNumberFormat="1" applyFont="1" applyFill="1" applyBorder="1" applyAlignment="1" applyProtection="1">
      <alignment horizontal="center" vertical="center"/>
    </xf>
    <xf numFmtId="165" fontId="9" fillId="25" borderId="42" xfId="7" applyNumberFormat="1" applyFont="1" applyFill="1" applyBorder="1" applyAlignment="1">
      <alignment horizontal="center" vertical="center"/>
    </xf>
    <xf numFmtId="2" fontId="9" fillId="25" borderId="44" xfId="7" applyNumberFormat="1" applyFont="1" applyFill="1" applyBorder="1" applyAlignment="1" applyProtection="1">
      <alignment horizontal="center" vertical="center"/>
    </xf>
    <xf numFmtId="165" fontId="9" fillId="25" borderId="12" xfId="7" applyNumberFormat="1" applyFont="1" applyFill="1" applyBorder="1" applyAlignment="1">
      <alignment horizontal="center" vertical="center"/>
    </xf>
    <xf numFmtId="1" fontId="9" fillId="25" borderId="12" xfId="7" applyNumberFormat="1" applyFont="1" applyFill="1" applyBorder="1" applyAlignment="1">
      <alignment horizontal="center" vertical="center"/>
    </xf>
    <xf numFmtId="165" fontId="9" fillId="25" borderId="13" xfId="7" applyNumberFormat="1" applyFont="1" applyFill="1" applyBorder="1" applyAlignment="1">
      <alignment horizontal="center" vertical="center"/>
    </xf>
    <xf numFmtId="165" fontId="9" fillId="25" borderId="81" xfId="7" applyNumberFormat="1" applyFont="1" applyFill="1" applyBorder="1" applyAlignment="1">
      <alignment horizontal="center" vertical="center"/>
    </xf>
    <xf numFmtId="165" fontId="9" fillId="25" borderId="82" xfId="7" applyNumberFormat="1" applyFont="1" applyFill="1" applyBorder="1" applyAlignment="1">
      <alignment horizontal="center" vertical="center"/>
    </xf>
    <xf numFmtId="1" fontId="9" fillId="25" borderId="45" xfId="7" applyNumberFormat="1" applyFont="1" applyFill="1" applyBorder="1" applyAlignment="1">
      <alignment horizontal="center" vertical="center"/>
    </xf>
    <xf numFmtId="0" fontId="9" fillId="25" borderId="51" xfId="7" applyFont="1" applyFill="1" applyBorder="1" applyAlignment="1">
      <alignment horizontal="center" vertical="center"/>
    </xf>
    <xf numFmtId="2" fontId="9" fillId="25" borderId="51" xfId="7" applyNumberFormat="1" applyFont="1" applyFill="1" applyBorder="1" applyAlignment="1">
      <alignment horizontal="center" vertical="center"/>
    </xf>
    <xf numFmtId="0" fontId="9" fillId="25" borderId="37" xfId="7" applyFont="1" applyFill="1" applyBorder="1" applyAlignment="1">
      <alignment horizontal="center" vertical="center" wrapText="1"/>
    </xf>
    <xf numFmtId="0" fontId="9" fillId="25" borderId="58" xfId="7" applyFont="1" applyFill="1" applyBorder="1" applyAlignment="1">
      <alignment vertical="center"/>
    </xf>
    <xf numFmtId="1" fontId="9" fillId="25" borderId="14" xfId="7" applyNumberFormat="1" applyFont="1" applyFill="1" applyBorder="1" applyAlignment="1">
      <alignment horizontal="center" vertical="center"/>
    </xf>
    <xf numFmtId="165" fontId="14" fillId="25" borderId="36" xfId="7" applyNumberFormat="1" applyFont="1" applyFill="1" applyBorder="1" applyAlignment="1">
      <alignment horizontal="center" vertical="center"/>
    </xf>
    <xf numFmtId="165" fontId="14" fillId="25" borderId="25" xfId="7" applyNumberFormat="1" applyFont="1" applyFill="1" applyBorder="1" applyAlignment="1">
      <alignment horizontal="center" vertical="center"/>
    </xf>
    <xf numFmtId="0" fontId="9" fillId="25" borderId="110" xfId="7" applyFont="1" applyFill="1" applyBorder="1" applyAlignment="1">
      <alignment horizontal="center" vertical="center" wrapText="1"/>
    </xf>
    <xf numFmtId="0" fontId="9" fillId="25" borderId="21" xfId="7" applyFont="1" applyFill="1" applyBorder="1" applyAlignment="1">
      <alignment horizontal="center" vertical="center" wrapText="1"/>
    </xf>
    <xf numFmtId="0" fontId="9" fillId="25" borderId="47" xfId="7" applyFont="1" applyFill="1" applyBorder="1" applyAlignment="1">
      <alignment vertical="center"/>
    </xf>
    <xf numFmtId="170" fontId="9" fillId="24" borderId="54" xfId="7" applyNumberFormat="1" applyFont="1" applyFill="1" applyBorder="1" applyAlignment="1">
      <alignment horizontal="center" vertical="center"/>
    </xf>
    <xf numFmtId="0" fontId="14" fillId="25" borderId="51" xfId="7" applyFont="1" applyFill="1" applyBorder="1" applyAlignment="1">
      <alignment horizontal="centerContinuous" wrapText="1"/>
    </xf>
    <xf numFmtId="0" fontId="9" fillId="24" borderId="54" xfId="7" applyFont="1" applyFill="1" applyBorder="1" applyAlignment="1">
      <alignment horizontal="left"/>
    </xf>
    <xf numFmtId="1" fontId="9" fillId="25" borderId="35" xfId="7" applyNumberFormat="1" applyFont="1" applyFill="1" applyBorder="1" applyAlignment="1">
      <alignment horizontal="center" vertical="center"/>
    </xf>
    <xf numFmtId="165" fontId="43" fillId="25" borderId="21" xfId="7" applyNumberFormat="1" applyFont="1" applyFill="1" applyBorder="1" applyAlignment="1">
      <alignment horizontal="center" vertical="center"/>
    </xf>
    <xf numFmtId="165" fontId="43" fillId="25" borderId="36" xfId="7" applyNumberFormat="1" applyFont="1" applyFill="1" applyBorder="1" applyAlignment="1">
      <alignment horizontal="center" vertical="center"/>
    </xf>
    <xf numFmtId="1" fontId="43" fillId="25" borderId="21" xfId="7" applyNumberFormat="1" applyFont="1" applyFill="1" applyBorder="1" applyAlignment="1">
      <alignment horizontal="center" vertical="center"/>
    </xf>
    <xf numFmtId="1" fontId="43" fillId="25" borderId="35" xfId="7" applyNumberFormat="1" applyFont="1" applyFill="1" applyBorder="1" applyAlignment="1">
      <alignment horizontal="center" vertical="center"/>
    </xf>
    <xf numFmtId="165" fontId="9" fillId="25" borderId="109" xfId="7" applyNumberFormat="1" applyFont="1" applyFill="1" applyBorder="1" applyAlignment="1">
      <alignment horizontal="center" vertical="center"/>
    </xf>
    <xf numFmtId="165" fontId="9" fillId="25" borderId="27" xfId="7" applyNumberFormat="1" applyFont="1" applyFill="1" applyBorder="1" applyAlignment="1">
      <alignment horizontal="center" vertical="center"/>
    </xf>
    <xf numFmtId="165" fontId="9" fillId="25" borderId="45" xfId="7" applyNumberFormat="1" applyFont="1" applyFill="1" applyBorder="1" applyAlignment="1">
      <alignment horizontal="center" vertical="center"/>
    </xf>
    <xf numFmtId="0" fontId="9" fillId="25" borderId="109" xfId="7" applyFont="1" applyFill="1" applyBorder="1" applyAlignment="1">
      <alignment horizontal="center" vertical="center" wrapText="1"/>
    </xf>
    <xf numFmtId="165" fontId="43" fillId="25" borderId="27" xfId="7" applyNumberFormat="1" applyFont="1" applyFill="1" applyBorder="1" applyAlignment="1">
      <alignment horizontal="center" vertical="center"/>
    </xf>
    <xf numFmtId="0" fontId="14" fillId="25" borderId="43" xfId="7" applyFont="1" applyFill="1" applyBorder="1" applyAlignment="1">
      <alignment horizontal="center" vertical="center" wrapText="1"/>
    </xf>
    <xf numFmtId="0" fontId="14" fillId="25" borderId="79" xfId="7" applyFont="1" applyFill="1" applyBorder="1" applyAlignment="1">
      <alignment horizontal="center" vertical="center"/>
    </xf>
    <xf numFmtId="2" fontId="14" fillId="25" borderId="43" xfId="7" applyNumberFormat="1" applyFont="1" applyFill="1" applyBorder="1" applyAlignment="1" applyProtection="1">
      <alignment horizontal="center" vertical="center"/>
    </xf>
    <xf numFmtId="2" fontId="14" fillId="25" borderId="78" xfId="7" applyNumberFormat="1" applyFont="1" applyFill="1" applyBorder="1" applyAlignment="1" applyProtection="1">
      <alignment horizontal="center" vertical="center"/>
    </xf>
    <xf numFmtId="2" fontId="14" fillId="25" borderId="79" xfId="7" applyNumberFormat="1" applyFont="1" applyFill="1" applyBorder="1" applyAlignment="1" applyProtection="1">
      <alignment horizontal="center" vertical="center"/>
    </xf>
    <xf numFmtId="2" fontId="14" fillId="25" borderId="15" xfId="7" applyNumberFormat="1" applyFont="1" applyFill="1" applyBorder="1" applyAlignment="1">
      <alignment horizontal="center" vertical="center"/>
    </xf>
    <xf numFmtId="2" fontId="14" fillId="25" borderId="46" xfId="7" applyNumberFormat="1" applyFont="1" applyFill="1" applyBorder="1" applyAlignment="1" applyProtection="1">
      <alignment horizontal="center" vertical="center"/>
    </xf>
    <xf numFmtId="179" fontId="9" fillId="8" borderId="58" xfId="7" applyNumberFormat="1" applyFont="1" applyFill="1" applyBorder="1" applyAlignment="1">
      <alignment horizontal="center" vertical="center"/>
    </xf>
    <xf numFmtId="2" fontId="14" fillId="25" borderId="23" xfId="7" applyNumberFormat="1" applyFont="1" applyFill="1" applyBorder="1" applyAlignment="1" applyProtection="1">
      <alignment horizontal="center" vertical="center"/>
    </xf>
    <xf numFmtId="2" fontId="14" fillId="25" borderId="18" xfId="7" applyNumberFormat="1" applyFont="1" applyFill="1" applyBorder="1" applyAlignment="1" applyProtection="1">
      <alignment horizontal="center" vertical="center"/>
    </xf>
    <xf numFmtId="0" fontId="14" fillId="25" borderId="24" xfId="7" applyFont="1" applyFill="1" applyBorder="1" applyAlignment="1">
      <alignment horizontal="center" vertical="center" wrapText="1"/>
    </xf>
    <xf numFmtId="165" fontId="43" fillId="25" borderId="25" xfId="7" applyNumberFormat="1" applyFont="1" applyFill="1" applyBorder="1" applyAlignment="1">
      <alignment horizontal="center" vertical="center"/>
    </xf>
    <xf numFmtId="179" fontId="9" fillId="25" borderId="49" xfId="7" applyNumberFormat="1" applyFont="1" applyFill="1" applyBorder="1" applyAlignment="1">
      <alignment horizontal="center" vertical="center"/>
    </xf>
    <xf numFmtId="1" fontId="9" fillId="25" borderId="110" xfId="7" applyNumberFormat="1" applyFont="1" applyFill="1" applyBorder="1" applyAlignment="1">
      <alignment horizontal="center" vertical="center"/>
    </xf>
    <xf numFmtId="0" fontId="0" fillId="0" borderId="0" xfId="0" applyAlignment="1">
      <alignment horizontal="justify" vertical="top"/>
    </xf>
    <xf numFmtId="0" fontId="2" fillId="0" borderId="0" xfId="0" applyFont="1" applyAlignment="1">
      <alignment horizontal="justify" vertical="top" wrapText="1"/>
    </xf>
    <xf numFmtId="0" fontId="2" fillId="0" borderId="0" xfId="0" applyFont="1" applyAlignment="1">
      <alignment horizontal="justify" vertical="top"/>
    </xf>
    <xf numFmtId="1" fontId="9" fillId="25" borderId="51" xfId="7" applyNumberFormat="1" applyFont="1" applyFill="1" applyBorder="1" applyAlignment="1">
      <alignment horizontal="center" vertical="center"/>
    </xf>
    <xf numFmtId="2" fontId="44" fillId="25" borderId="48" xfId="7" applyNumberFormat="1" applyFont="1" applyFill="1" applyBorder="1" applyAlignment="1">
      <alignment horizontal="center" vertical="center"/>
    </xf>
    <xf numFmtId="1" fontId="44" fillId="25" borderId="50" xfId="7" applyNumberFormat="1" applyFont="1" applyFill="1" applyBorder="1" applyAlignment="1">
      <alignment horizontal="center" vertical="center"/>
    </xf>
    <xf numFmtId="165" fontId="44" fillId="25" borderId="50" xfId="7" applyNumberFormat="1" applyFont="1" applyFill="1" applyBorder="1" applyAlignment="1">
      <alignment horizontal="center" vertical="center"/>
    </xf>
    <xf numFmtId="165" fontId="44" fillId="25" borderId="48" xfId="7" applyNumberFormat="1" applyFont="1" applyFill="1" applyBorder="1" applyAlignment="1">
      <alignment horizontal="center" vertical="center"/>
    </xf>
    <xf numFmtId="0" fontId="18" fillId="24" borderId="0" xfId="7" applyFont="1" applyFill="1" applyBorder="1" applyAlignment="1">
      <alignment horizontal="right" vertical="center"/>
    </xf>
    <xf numFmtId="165" fontId="45" fillId="25" borderId="47" xfId="7" applyNumberFormat="1" applyFont="1" applyFill="1" applyBorder="1" applyAlignment="1">
      <alignment horizontal="center" vertical="center"/>
    </xf>
    <xf numFmtId="9" fontId="46" fillId="22" borderId="36" xfId="2" applyFont="1" applyFill="1" applyBorder="1" applyAlignment="1">
      <alignment horizontal="center" vertical="center"/>
    </xf>
    <xf numFmtId="0" fontId="18" fillId="24" borderId="0" xfId="7" applyFont="1" applyFill="1" applyBorder="1" applyAlignment="1">
      <alignment horizontal="center" vertical="center"/>
    </xf>
    <xf numFmtId="165" fontId="9" fillId="16" borderId="33" xfId="7" applyNumberFormat="1" applyFont="1" applyFill="1" applyBorder="1" applyAlignment="1">
      <alignment horizontal="center"/>
    </xf>
    <xf numFmtId="1" fontId="31" fillId="16" borderId="0" xfId="1" applyNumberFormat="1" applyFont="1" applyFill="1" applyBorder="1" applyAlignment="1">
      <alignment horizontal="center" vertical="center" wrapText="1"/>
    </xf>
    <xf numFmtId="165" fontId="9" fillId="16" borderId="61" xfId="7" applyNumberFormat="1" applyFont="1" applyFill="1" applyBorder="1" applyAlignment="1">
      <alignment horizontal="center"/>
    </xf>
    <xf numFmtId="0" fontId="9" fillId="13" borderId="61" xfId="7" applyFont="1" applyFill="1" applyBorder="1" applyAlignment="1" applyProtection="1">
      <alignment horizontal="center"/>
    </xf>
    <xf numFmtId="0" fontId="9" fillId="25" borderId="23" xfId="7" applyFont="1" applyFill="1" applyBorder="1" applyAlignment="1">
      <alignment horizontal="center" vertical="center" wrapText="1"/>
    </xf>
    <xf numFmtId="9" fontId="46" fillId="22" borderId="47" xfId="2" applyFont="1" applyFill="1" applyBorder="1" applyAlignment="1">
      <alignment horizontal="center" vertical="center"/>
    </xf>
    <xf numFmtId="9" fontId="46" fillId="22" borderId="50" xfId="2" applyFont="1" applyFill="1" applyBorder="1" applyAlignment="1">
      <alignment horizontal="center" vertical="center"/>
    </xf>
    <xf numFmtId="9" fontId="46" fillId="22" borderId="49" xfId="2" applyFont="1" applyFill="1" applyBorder="1" applyAlignment="1">
      <alignment horizontal="center" vertical="center"/>
    </xf>
    <xf numFmtId="184" fontId="47" fillId="25" borderId="21" xfId="7" applyNumberFormat="1" applyFont="1" applyFill="1" applyBorder="1" applyAlignment="1">
      <alignment horizontal="center" vertical="center"/>
    </xf>
    <xf numFmtId="0" fontId="14" fillId="24" borderId="7" xfId="7" applyFont="1" applyFill="1" applyBorder="1" applyAlignment="1">
      <alignment horizontal="centerContinuous" vertical="top"/>
    </xf>
    <xf numFmtId="0" fontId="14" fillId="24" borderId="8" xfId="7" applyFont="1" applyFill="1" applyBorder="1" applyAlignment="1">
      <alignment horizontal="centerContinuous"/>
    </xf>
    <xf numFmtId="0" fontId="14" fillId="24" borderId="8" xfId="7" applyFont="1" applyFill="1" applyBorder="1"/>
    <xf numFmtId="0" fontId="14" fillId="24" borderId="8" xfId="7" applyFont="1" applyFill="1" applyBorder="1" applyAlignment="1">
      <alignment vertical="top"/>
    </xf>
    <xf numFmtId="0" fontId="14" fillId="24" borderId="8" xfId="7" applyFont="1" applyFill="1" applyBorder="1" applyAlignment="1"/>
    <xf numFmtId="0" fontId="14" fillId="24" borderId="8" xfId="7" applyFont="1" applyFill="1" applyBorder="1" applyAlignment="1">
      <alignment horizontal="center"/>
    </xf>
    <xf numFmtId="0" fontId="14" fillId="24" borderId="8" xfId="7" applyFont="1" applyFill="1" applyBorder="1" applyAlignment="1">
      <alignment horizontal="left"/>
    </xf>
    <xf numFmtId="169" fontId="14" fillId="24" borderId="8" xfId="7" applyNumberFormat="1" applyFont="1" applyFill="1" applyBorder="1" applyAlignment="1">
      <alignment horizontal="center"/>
    </xf>
    <xf numFmtId="0" fontId="14" fillId="24" borderId="8" xfId="7" applyFont="1" applyFill="1" applyBorder="1" applyAlignment="1">
      <alignment horizontal="center" wrapText="1"/>
    </xf>
    <xf numFmtId="1" fontId="14" fillId="24" borderId="8" xfId="7" applyNumberFormat="1" applyFont="1" applyFill="1" applyBorder="1" applyAlignment="1">
      <alignment horizontal="center"/>
    </xf>
    <xf numFmtId="170" fontId="14" fillId="24" borderId="8" xfId="7" applyNumberFormat="1" applyFont="1" applyFill="1" applyBorder="1" applyAlignment="1">
      <alignment horizontal="center" vertical="top"/>
    </xf>
    <xf numFmtId="168" fontId="14" fillId="24" borderId="8" xfId="7" applyNumberFormat="1" applyFont="1" applyFill="1" applyBorder="1" applyAlignment="1">
      <alignment horizontal="center" vertical="top"/>
    </xf>
    <xf numFmtId="168" fontId="14" fillId="24" borderId="62" xfId="7" applyNumberFormat="1" applyFont="1" applyFill="1" applyBorder="1" applyAlignment="1">
      <alignment horizontal="center" vertical="top"/>
    </xf>
    <xf numFmtId="0" fontId="14" fillId="24" borderId="26" xfId="4" applyFont="1" applyFill="1" applyBorder="1"/>
    <xf numFmtId="0" fontId="14" fillId="24" borderId="0" xfId="7" applyFont="1" applyFill="1" applyBorder="1"/>
    <xf numFmtId="0" fontId="9" fillId="15" borderId="0" xfId="5" applyNumberFormat="1" applyFont="1" applyFill="1" applyBorder="1" applyAlignment="1" applyProtection="1">
      <alignment horizontal="center" vertical="center"/>
      <protection locked="0"/>
    </xf>
    <xf numFmtId="49" fontId="14" fillId="0" borderId="36" xfId="0" quotePrefix="1" applyNumberFormat="1" applyFont="1" applyFill="1" applyBorder="1" applyAlignment="1" applyProtection="1">
      <alignment horizontal="center" vertical="center" wrapText="1"/>
      <protection locked="0"/>
    </xf>
    <xf numFmtId="184" fontId="47" fillId="25" borderId="36" xfId="7" applyNumberFormat="1" applyFont="1" applyFill="1" applyBorder="1" applyAlignment="1">
      <alignment horizontal="center" vertical="center"/>
    </xf>
    <xf numFmtId="184" fontId="47" fillId="25" borderId="25" xfId="7" applyNumberFormat="1" applyFont="1" applyFill="1" applyBorder="1" applyAlignment="1">
      <alignment horizontal="center" vertical="center"/>
    </xf>
    <xf numFmtId="184" fontId="21" fillId="25" borderId="68" xfId="7" applyNumberFormat="1" applyFont="1" applyFill="1" applyBorder="1" applyAlignment="1">
      <alignment horizontal="center" vertical="center"/>
    </xf>
    <xf numFmtId="184" fontId="21" fillId="25" borderId="114" xfId="7" applyNumberFormat="1" applyFont="1" applyFill="1" applyBorder="1" applyAlignment="1">
      <alignment horizontal="center" vertical="center"/>
    </xf>
    <xf numFmtId="184" fontId="21" fillId="25" borderId="114" xfId="7" quotePrefix="1" applyNumberFormat="1" applyFont="1" applyFill="1" applyBorder="1" applyAlignment="1">
      <alignment horizontal="center" vertical="center"/>
    </xf>
    <xf numFmtId="184" fontId="21" fillId="25" borderId="69" xfId="7" quotePrefix="1" applyNumberFormat="1" applyFont="1" applyFill="1" applyBorder="1" applyAlignment="1">
      <alignment horizontal="center" vertical="center"/>
    </xf>
    <xf numFmtId="0" fontId="14" fillId="16" borderId="119" xfId="0" applyFont="1" applyFill="1" applyBorder="1" applyAlignment="1">
      <alignment horizontal="center"/>
    </xf>
    <xf numFmtId="167" fontId="9" fillId="16" borderId="86" xfId="5" applyNumberFormat="1" applyFont="1" applyFill="1" applyBorder="1" applyAlignment="1">
      <alignment vertical="center"/>
    </xf>
    <xf numFmtId="1" fontId="9" fillId="15" borderId="29" xfId="5" applyNumberFormat="1" applyFont="1" applyFill="1" applyBorder="1" applyAlignment="1" applyProtection="1">
      <alignment horizontal="center" vertical="center"/>
      <protection locked="0"/>
    </xf>
    <xf numFmtId="167" fontId="9" fillId="15" borderId="45" xfId="5" applyNumberFormat="1" applyFont="1" applyFill="1" applyBorder="1" applyAlignment="1">
      <alignment vertical="center"/>
    </xf>
    <xf numFmtId="167" fontId="9" fillId="16" borderId="29" xfId="5" applyNumberFormat="1" applyFont="1" applyFill="1" applyBorder="1" applyAlignment="1">
      <alignment vertical="center"/>
    </xf>
    <xf numFmtId="167" fontId="2" fillId="15" borderId="45" xfId="5" applyNumberFormat="1" applyFill="1" applyBorder="1" applyAlignment="1">
      <alignment vertical="center"/>
    </xf>
    <xf numFmtId="165" fontId="9" fillId="15" borderId="29" xfId="5" applyNumberFormat="1" applyFont="1" applyFill="1" applyBorder="1" applyAlignment="1" applyProtection="1">
      <alignment horizontal="center" vertical="center"/>
    </xf>
    <xf numFmtId="167" fontId="9" fillId="15" borderId="45" xfId="5" applyNumberFormat="1" applyFont="1" applyFill="1" applyBorder="1" applyAlignment="1" applyProtection="1">
      <alignment vertical="center"/>
    </xf>
    <xf numFmtId="167" fontId="9" fillId="15" borderId="12" xfId="5" applyNumberFormat="1" applyFont="1" applyFill="1" applyBorder="1" applyAlignment="1">
      <alignment horizontal="left" vertical="center"/>
    </xf>
    <xf numFmtId="1" fontId="14" fillId="25" borderId="52" xfId="7" applyNumberFormat="1" applyFont="1" applyFill="1" applyBorder="1" applyAlignment="1" applyProtection="1">
      <alignment horizontal="left" vertical="top"/>
    </xf>
    <xf numFmtId="1" fontId="14" fillId="25" borderId="70" xfId="7" applyNumberFormat="1" applyFont="1" applyFill="1" applyBorder="1" applyAlignment="1" applyProtection="1">
      <alignment horizontal="left" vertical="top"/>
    </xf>
    <xf numFmtId="1" fontId="14" fillId="25" borderId="54" xfId="7" applyNumberFormat="1" applyFont="1" applyFill="1" applyBorder="1" applyAlignment="1" applyProtection="1">
      <alignment horizontal="left" vertical="top"/>
    </xf>
    <xf numFmtId="1" fontId="14" fillId="25" borderId="0" xfId="7" applyNumberFormat="1" applyFont="1" applyFill="1" applyBorder="1" applyAlignment="1" applyProtection="1">
      <alignment horizontal="left" vertical="top"/>
    </xf>
    <xf numFmtId="1" fontId="14" fillId="25" borderId="56" xfId="7" applyNumberFormat="1" applyFont="1" applyFill="1" applyBorder="1" applyAlignment="1" applyProtection="1">
      <alignment horizontal="left" vertical="top"/>
    </xf>
    <xf numFmtId="1" fontId="14" fillId="25" borderId="28" xfId="7" applyNumberFormat="1" applyFont="1" applyFill="1" applyBorder="1" applyAlignment="1" applyProtection="1">
      <alignment horizontal="left" vertical="top"/>
    </xf>
    <xf numFmtId="185" fontId="47" fillId="25" borderId="21" xfId="7" applyNumberFormat="1" applyFont="1" applyFill="1" applyBorder="1" applyAlignment="1">
      <alignment horizontal="center" vertical="center" wrapText="1"/>
    </xf>
    <xf numFmtId="186" fontId="24" fillId="9" borderId="61" xfId="1" applyNumberFormat="1" applyFont="1" applyFill="1" applyBorder="1" applyAlignment="1" applyProtection="1">
      <alignment horizontal="center"/>
      <protection hidden="1"/>
    </xf>
    <xf numFmtId="186" fontId="24" fillId="9" borderId="10" xfId="1" applyNumberFormat="1" applyFont="1" applyFill="1" applyBorder="1" applyAlignment="1" applyProtection="1">
      <alignment horizontal="center"/>
      <protection hidden="1"/>
    </xf>
    <xf numFmtId="0" fontId="14" fillId="13" borderId="107" xfId="0" applyFont="1" applyFill="1" applyBorder="1" applyAlignment="1" applyProtection="1">
      <alignment horizontal="center" vertical="top"/>
      <protection hidden="1"/>
    </xf>
    <xf numFmtId="0" fontId="14" fillId="13" borderId="105" xfId="0" applyFont="1" applyFill="1" applyBorder="1" applyAlignment="1" applyProtection="1">
      <alignment horizontal="center" vertical="top"/>
      <protection hidden="1"/>
    </xf>
    <xf numFmtId="182" fontId="14" fillId="13" borderId="105" xfId="0" applyNumberFormat="1" applyFont="1" applyFill="1" applyBorder="1" applyAlignment="1" applyProtection="1">
      <alignment horizontal="center" vertical="top"/>
      <protection hidden="1"/>
    </xf>
    <xf numFmtId="0" fontId="14" fillId="13" borderId="106" xfId="0" applyFont="1" applyFill="1" applyBorder="1" applyAlignment="1" applyProtection="1">
      <alignment vertical="top"/>
      <protection hidden="1"/>
    </xf>
    <xf numFmtId="164" fontId="8" fillId="9" borderId="0" xfId="1" applyFont="1" applyFill="1" applyAlignment="1" applyProtection="1">
      <alignment vertical="top"/>
      <protection hidden="1"/>
    </xf>
    <xf numFmtId="0" fontId="8" fillId="9" borderId="0" xfId="0" applyFont="1" applyFill="1" applyAlignment="1" applyProtection="1">
      <alignment vertical="top"/>
      <protection hidden="1"/>
    </xf>
    <xf numFmtId="167" fontId="8" fillId="9" borderId="0" xfId="0" applyNumberFormat="1" applyFont="1" applyFill="1" applyBorder="1" applyAlignment="1" applyProtection="1">
      <alignment horizontal="left" indent="1"/>
      <protection hidden="1"/>
    </xf>
    <xf numFmtId="172" fontId="11" fillId="9" borderId="0" xfId="0" applyNumberFormat="1" applyFont="1" applyFill="1" applyBorder="1" applyAlignment="1" applyProtection="1">
      <alignment horizontal="center"/>
      <protection hidden="1"/>
    </xf>
    <xf numFmtId="165" fontId="14" fillId="9" borderId="119" xfId="1" applyNumberFormat="1" applyFont="1" applyFill="1" applyBorder="1" applyAlignment="1" applyProtection="1">
      <alignment horizontal="center"/>
      <protection hidden="1"/>
    </xf>
    <xf numFmtId="165" fontId="14" fillId="9" borderId="9" xfId="1" applyNumberFormat="1" applyFont="1" applyFill="1" applyBorder="1" applyAlignment="1" applyProtection="1">
      <alignment horizontal="center"/>
      <protection hidden="1"/>
    </xf>
    <xf numFmtId="1" fontId="14" fillId="9" borderId="119" xfId="1" applyNumberFormat="1" applyFont="1" applyFill="1" applyBorder="1" applyAlignment="1" applyProtection="1">
      <alignment horizontal="center"/>
      <protection hidden="1"/>
    </xf>
    <xf numFmtId="2" fontId="14" fillId="9" borderId="119" xfId="1" applyNumberFormat="1" applyFont="1" applyFill="1" applyBorder="1" applyAlignment="1" applyProtection="1">
      <alignment horizontal="center"/>
      <protection hidden="1"/>
    </xf>
    <xf numFmtId="1" fontId="14" fillId="9" borderId="61" xfId="1" applyNumberFormat="1" applyFont="1" applyFill="1" applyBorder="1" applyAlignment="1" applyProtection="1">
      <alignment horizontal="center"/>
      <protection hidden="1"/>
    </xf>
    <xf numFmtId="167" fontId="14" fillId="9" borderId="59" xfId="1" applyNumberFormat="1" applyFont="1" applyFill="1" applyBorder="1" applyAlignment="1" applyProtection="1">
      <alignment horizontal="center"/>
      <protection hidden="1"/>
    </xf>
    <xf numFmtId="1" fontId="14" fillId="9" borderId="9" xfId="1" applyNumberFormat="1" applyFont="1" applyFill="1" applyBorder="1" applyAlignment="1" applyProtection="1">
      <alignment horizontal="center"/>
      <protection hidden="1"/>
    </xf>
    <xf numFmtId="2" fontId="14" fillId="9" borderId="9" xfId="1" applyNumberFormat="1" applyFont="1" applyFill="1" applyBorder="1" applyAlignment="1" applyProtection="1">
      <alignment horizontal="center"/>
      <protection hidden="1"/>
    </xf>
    <xf numFmtId="1" fontId="14" fillId="9" borderId="10" xfId="1" applyNumberFormat="1" applyFont="1" applyFill="1" applyBorder="1" applyAlignment="1" applyProtection="1">
      <alignment horizontal="center"/>
      <protection hidden="1"/>
    </xf>
    <xf numFmtId="1" fontId="4" fillId="3" borderId="0" xfId="7" applyNumberFormat="1" applyFont="1" applyFill="1" applyBorder="1" applyAlignment="1">
      <alignment horizontal="center"/>
    </xf>
    <xf numFmtId="165" fontId="4" fillId="3" borderId="0" xfId="7" applyNumberFormat="1" applyFont="1" applyFill="1" applyBorder="1" applyAlignment="1">
      <alignment horizontal="center"/>
    </xf>
    <xf numFmtId="165" fontId="14" fillId="9" borderId="61" xfId="1" applyNumberFormat="1" applyFont="1" applyFill="1" applyBorder="1" applyAlignment="1" applyProtection="1">
      <alignment horizontal="center"/>
      <protection hidden="1"/>
    </xf>
    <xf numFmtId="165" fontId="14" fillId="9" borderId="10" xfId="1" applyNumberFormat="1" applyFont="1" applyFill="1" applyBorder="1" applyAlignment="1" applyProtection="1">
      <alignment horizontal="center"/>
      <protection hidden="1"/>
    </xf>
    <xf numFmtId="0" fontId="9" fillId="9" borderId="3" xfId="0" applyNumberFormat="1" applyFont="1" applyFill="1" applyBorder="1" applyAlignment="1" applyProtection="1">
      <alignment horizontal="left" vertical="center" indent="1"/>
      <protection hidden="1"/>
    </xf>
    <xf numFmtId="167" fontId="8" fillId="9" borderId="3" xfId="0" applyNumberFormat="1" applyFont="1" applyFill="1" applyBorder="1" applyProtection="1">
      <protection hidden="1"/>
    </xf>
    <xf numFmtId="0" fontId="9" fillId="9" borderId="3" xfId="0" applyFont="1" applyFill="1" applyBorder="1" applyAlignment="1" applyProtection="1">
      <alignment vertical="center"/>
      <protection hidden="1"/>
    </xf>
    <xf numFmtId="0" fontId="8" fillId="9" borderId="3" xfId="0" applyFont="1" applyFill="1" applyBorder="1" applyProtection="1">
      <protection hidden="1"/>
    </xf>
    <xf numFmtId="0" fontId="8" fillId="9" borderId="3" xfId="0" applyFont="1" applyFill="1" applyBorder="1" applyAlignment="1" applyProtection="1">
      <alignment horizontal="left" vertical="top" wrapText="1"/>
      <protection hidden="1"/>
    </xf>
    <xf numFmtId="0" fontId="8" fillId="9" borderId="0" xfId="0" applyFont="1" applyFill="1" applyBorder="1" applyAlignment="1" applyProtection="1">
      <alignment horizontal="left" vertical="top" wrapText="1"/>
      <protection hidden="1"/>
    </xf>
    <xf numFmtId="0" fontId="8" fillId="9" borderId="8" xfId="0" applyFont="1" applyFill="1" applyBorder="1" applyAlignment="1" applyProtection="1">
      <alignment horizontal="left" vertical="top" wrapText="1"/>
      <protection hidden="1"/>
    </xf>
    <xf numFmtId="0" fontId="8" fillId="9" borderId="5" xfId="0" applyFont="1" applyFill="1" applyBorder="1" applyProtection="1">
      <protection hidden="1"/>
    </xf>
    <xf numFmtId="0" fontId="8" fillId="9" borderId="6" xfId="0" applyFont="1" applyFill="1" applyBorder="1" applyProtection="1">
      <protection hidden="1"/>
    </xf>
    <xf numFmtId="0" fontId="8" fillId="9" borderId="26" xfId="0" applyFont="1" applyFill="1" applyBorder="1" applyProtection="1">
      <protection hidden="1"/>
    </xf>
    <xf numFmtId="176" fontId="6" fillId="25" borderId="3" xfId="0" applyNumberFormat="1" applyFont="1" applyFill="1" applyBorder="1" applyAlignment="1" applyProtection="1">
      <alignment horizontal="center"/>
      <protection hidden="1"/>
    </xf>
    <xf numFmtId="178" fontId="9" fillId="25" borderId="3" xfId="0" applyNumberFormat="1" applyFont="1" applyFill="1" applyBorder="1" applyAlignment="1" applyProtection="1">
      <alignment horizontal="center"/>
      <protection hidden="1"/>
    </xf>
    <xf numFmtId="178" fontId="9" fillId="25" borderId="10" xfId="0" applyNumberFormat="1" applyFont="1" applyFill="1" applyBorder="1" applyAlignment="1" applyProtection="1">
      <alignment horizontal="center"/>
      <protection hidden="1"/>
    </xf>
    <xf numFmtId="167" fontId="9" fillId="25" borderId="10" xfId="0" applyNumberFormat="1" applyFont="1" applyFill="1" applyBorder="1" applyAlignment="1" applyProtection="1">
      <alignment horizontal="center"/>
      <protection hidden="1"/>
    </xf>
    <xf numFmtId="172" fontId="11" fillId="25" borderId="0" xfId="0" applyNumberFormat="1" applyFont="1" applyFill="1" applyBorder="1" applyAlignment="1" applyProtection="1">
      <alignment horizontal="center"/>
      <protection hidden="1"/>
    </xf>
    <xf numFmtId="167" fontId="14" fillId="25" borderId="0" xfId="1" applyNumberFormat="1" applyFont="1" applyFill="1" applyBorder="1" applyAlignment="1" applyProtection="1">
      <alignment horizontal="center"/>
      <protection hidden="1"/>
    </xf>
    <xf numFmtId="165" fontId="14" fillId="25" borderId="9" xfId="1" applyNumberFormat="1" applyFont="1" applyFill="1" applyBorder="1" applyAlignment="1" applyProtection="1">
      <alignment horizontal="center"/>
      <protection hidden="1"/>
    </xf>
    <xf numFmtId="1" fontId="14" fillId="25" borderId="9" xfId="1" applyNumberFormat="1" applyFont="1" applyFill="1" applyBorder="1" applyAlignment="1" applyProtection="1">
      <alignment horizontal="center"/>
      <protection hidden="1"/>
    </xf>
    <xf numFmtId="183" fontId="24" fillId="25" borderId="10" xfId="1" applyNumberFormat="1" applyFont="1" applyFill="1" applyBorder="1" applyAlignment="1" applyProtection="1">
      <alignment horizontal="center"/>
      <protection hidden="1"/>
    </xf>
    <xf numFmtId="2" fontId="14" fillId="25" borderId="9" xfId="1" applyNumberFormat="1" applyFont="1" applyFill="1" applyBorder="1" applyAlignment="1" applyProtection="1">
      <alignment horizontal="center"/>
      <protection hidden="1"/>
    </xf>
    <xf numFmtId="1" fontId="14" fillId="25" borderId="10" xfId="1" applyNumberFormat="1" applyFont="1" applyFill="1" applyBorder="1" applyAlignment="1" applyProtection="1">
      <alignment horizontal="center"/>
      <protection hidden="1"/>
    </xf>
    <xf numFmtId="165" fontId="14" fillId="25" borderId="10" xfId="1" applyNumberFormat="1" applyFont="1" applyFill="1" applyBorder="1" applyAlignment="1" applyProtection="1">
      <alignment horizontal="center"/>
      <protection hidden="1"/>
    </xf>
    <xf numFmtId="186" fontId="24" fillId="25" borderId="10" xfId="1" applyNumberFormat="1" applyFont="1" applyFill="1" applyBorder="1" applyAlignment="1" applyProtection="1">
      <alignment horizontal="center"/>
      <protection hidden="1"/>
    </xf>
    <xf numFmtId="0" fontId="9" fillId="9" borderId="0" xfId="0" applyFont="1" applyFill="1" applyBorder="1" applyAlignment="1" applyProtection="1">
      <alignment horizontal="left" vertical="center" indent="1"/>
      <protection hidden="1"/>
    </xf>
    <xf numFmtId="0" fontId="7" fillId="15" borderId="1" xfId="0" applyFont="1" applyFill="1" applyBorder="1" applyProtection="1"/>
    <xf numFmtId="0" fontId="9" fillId="15" borderId="2" xfId="0" applyFont="1" applyFill="1" applyBorder="1" applyProtection="1"/>
    <xf numFmtId="0" fontId="9" fillId="15" borderId="2" xfId="0" applyFont="1" applyFill="1" applyBorder="1" applyProtection="1">
      <protection locked="0"/>
    </xf>
    <xf numFmtId="0" fontId="7" fillId="15" borderId="2" xfId="0" applyFont="1" applyFill="1" applyBorder="1" applyProtection="1"/>
    <xf numFmtId="0" fontId="9" fillId="15" borderId="7" xfId="0" applyFont="1" applyFill="1" applyBorder="1" applyProtection="1"/>
    <xf numFmtId="0" fontId="9" fillId="15" borderId="3" xfId="0" applyFont="1" applyFill="1" applyBorder="1" applyProtection="1"/>
    <xf numFmtId="0" fontId="9" fillId="15" borderId="0" xfId="0" applyFont="1" applyFill="1" applyBorder="1" applyProtection="1"/>
    <xf numFmtId="0" fontId="9" fillId="15" borderId="0" xfId="0" applyFont="1" applyFill="1" applyBorder="1" applyProtection="1">
      <protection locked="0"/>
    </xf>
    <xf numFmtId="0" fontId="9" fillId="15" borderId="8" xfId="0" applyFont="1" applyFill="1" applyBorder="1" applyProtection="1"/>
    <xf numFmtId="0" fontId="9" fillId="0" borderId="0" xfId="0" applyFont="1" applyBorder="1" applyProtection="1">
      <protection locked="0"/>
    </xf>
    <xf numFmtId="167" fontId="9" fillId="15" borderId="3" xfId="0" applyNumberFormat="1" applyFont="1" applyFill="1" applyBorder="1" applyProtection="1"/>
    <xf numFmtId="167" fontId="9" fillId="0" borderId="0" xfId="0" applyNumberFormat="1" applyFont="1" applyBorder="1" applyProtection="1">
      <protection locked="0"/>
    </xf>
    <xf numFmtId="167" fontId="9" fillId="15" borderId="0" xfId="0" applyNumberFormat="1" applyFont="1" applyFill="1" applyBorder="1" applyProtection="1"/>
    <xf numFmtId="167" fontId="9" fillId="15" borderId="8" xfId="0" applyNumberFormat="1" applyFont="1" applyFill="1" applyBorder="1" applyProtection="1"/>
    <xf numFmtId="0" fontId="9" fillId="15" borderId="3" xfId="0" applyFont="1" applyFill="1" applyBorder="1" applyAlignment="1" applyProtection="1">
      <alignment vertical="center"/>
    </xf>
    <xf numFmtId="0" fontId="9" fillId="15" borderId="0" xfId="0" applyFont="1" applyFill="1" applyBorder="1" applyAlignment="1" applyProtection="1">
      <alignment vertical="center"/>
    </xf>
    <xf numFmtId="0" fontId="9" fillId="4" borderId="119" xfId="7" applyFont="1" applyFill="1" applyBorder="1" applyAlignment="1" applyProtection="1">
      <alignment horizontal="center" vertical="center"/>
    </xf>
    <xf numFmtId="170" fontId="9" fillId="3" borderId="105" xfId="7" applyNumberFormat="1" applyFont="1" applyFill="1" applyBorder="1" applyAlignment="1" applyProtection="1">
      <alignment vertical="center"/>
      <protection locked="0"/>
    </xf>
    <xf numFmtId="170" fontId="9" fillId="0" borderId="105" xfId="7" applyNumberFormat="1" applyFont="1" applyFill="1" applyBorder="1" applyAlignment="1" applyProtection="1">
      <alignment horizontal="left" vertical="center"/>
    </xf>
    <xf numFmtId="165" fontId="9" fillId="4" borderId="119" xfId="7" applyNumberFormat="1" applyFont="1" applyFill="1" applyBorder="1" applyAlignment="1" applyProtection="1">
      <alignment horizontal="center" vertical="center"/>
    </xf>
    <xf numFmtId="0" fontId="9" fillId="15" borderId="0" xfId="0" applyFont="1" applyFill="1" applyBorder="1" applyAlignment="1" applyProtection="1">
      <alignment vertical="center"/>
      <protection locked="0"/>
    </xf>
    <xf numFmtId="1" fontId="9" fillId="15" borderId="8" xfId="7" applyNumberFormat="1" applyFont="1" applyFill="1" applyBorder="1" applyAlignment="1" applyProtection="1">
      <alignment horizontal="center" vertical="center"/>
    </xf>
    <xf numFmtId="0" fontId="9" fillId="15" borderId="5" xfId="0" applyFont="1" applyFill="1" applyBorder="1" applyProtection="1"/>
    <xf numFmtId="0" fontId="9" fillId="15" borderId="6" xfId="0" applyFont="1" applyFill="1" applyBorder="1" applyProtection="1"/>
    <xf numFmtId="0" fontId="9" fillId="15" borderId="6" xfId="0" applyFont="1" applyFill="1" applyBorder="1" applyProtection="1">
      <protection locked="0"/>
    </xf>
    <xf numFmtId="0" fontId="9" fillId="15" borderId="6" xfId="0" applyFont="1" applyFill="1" applyBorder="1" applyAlignment="1" applyProtection="1">
      <alignment vertical="center"/>
    </xf>
    <xf numFmtId="1" fontId="9" fillId="15" borderId="6" xfId="7" applyNumberFormat="1" applyFont="1" applyFill="1" applyBorder="1" applyAlignment="1" applyProtection="1">
      <alignment horizontal="center" vertical="center"/>
    </xf>
    <xf numFmtId="1" fontId="9" fillId="15" borderId="26" xfId="7" applyNumberFormat="1" applyFont="1" applyFill="1" applyBorder="1" applyAlignment="1" applyProtection="1">
      <alignment horizontal="center" vertical="center"/>
    </xf>
    <xf numFmtId="0" fontId="2" fillId="9" borderId="0" xfId="0" applyFont="1" applyFill="1"/>
    <xf numFmtId="0" fontId="0" fillId="9" borderId="0" xfId="0" applyFill="1"/>
    <xf numFmtId="0" fontId="0" fillId="9" borderId="0" xfId="0" applyFill="1" applyAlignment="1">
      <alignment horizontal="center"/>
    </xf>
    <xf numFmtId="0" fontId="2" fillId="9" borderId="0" xfId="0" applyFont="1" applyFill="1" applyAlignment="1">
      <alignment horizontal="center"/>
    </xf>
    <xf numFmtId="20" fontId="0" fillId="9" borderId="0" xfId="0" quotePrefix="1" applyNumberFormat="1" applyFill="1" applyAlignment="1">
      <alignment horizontal="right"/>
    </xf>
    <xf numFmtId="0" fontId="1" fillId="9" borderId="0" xfId="0" applyFont="1" applyFill="1"/>
    <xf numFmtId="0" fontId="7" fillId="9" borderId="0" xfId="0" applyFont="1" applyFill="1"/>
    <xf numFmtId="0" fontId="1" fillId="9" borderId="110" xfId="0" applyFont="1" applyFill="1" applyBorder="1" applyAlignment="1">
      <alignment horizontal="center"/>
    </xf>
    <xf numFmtId="0" fontId="2" fillId="9" borderId="110" xfId="0" applyFont="1" applyFill="1" applyBorder="1" applyAlignment="1">
      <alignment horizontal="center" wrapText="1"/>
    </xf>
    <xf numFmtId="0" fontId="2" fillId="9" borderId="0" xfId="0" applyFont="1" applyFill="1" applyAlignment="1">
      <alignment horizontal="right"/>
    </xf>
    <xf numFmtId="0" fontId="0" fillId="9" borderId="22" xfId="0" applyFill="1" applyBorder="1" applyAlignment="1">
      <alignment horizontal="center"/>
    </xf>
    <xf numFmtId="0" fontId="0" fillId="9" borderId="109" xfId="0" applyFill="1" applyBorder="1" applyAlignment="1">
      <alignment horizontal="center"/>
    </xf>
    <xf numFmtId="9" fontId="0" fillId="14" borderId="110" xfId="0" applyNumberFormat="1" applyFill="1" applyBorder="1" applyAlignment="1" applyProtection="1">
      <alignment horizontal="center"/>
      <protection locked="0"/>
    </xf>
    <xf numFmtId="0" fontId="0" fillId="14" borderId="110" xfId="0" applyFill="1" applyBorder="1" applyAlignment="1" applyProtection="1">
      <alignment horizontal="center"/>
      <protection locked="0"/>
    </xf>
    <xf numFmtId="1" fontId="0" fillId="14" borderId="110" xfId="0" applyNumberFormat="1" applyFill="1" applyBorder="1" applyAlignment="1" applyProtection="1">
      <alignment horizontal="center"/>
      <protection locked="0"/>
    </xf>
    <xf numFmtId="165" fontId="0" fillId="14" borderId="110" xfId="0" applyNumberFormat="1" applyFill="1" applyBorder="1" applyAlignment="1" applyProtection="1">
      <alignment horizontal="center"/>
      <protection locked="0"/>
    </xf>
    <xf numFmtId="0" fontId="6" fillId="9" borderId="0" xfId="0" applyFont="1" applyFill="1" applyAlignment="1">
      <alignment vertical="center"/>
    </xf>
    <xf numFmtId="0" fontId="14" fillId="9" borderId="0" xfId="0" applyFont="1" applyFill="1" applyAlignment="1" applyProtection="1">
      <alignment vertical="center"/>
    </xf>
    <xf numFmtId="0" fontId="9" fillId="9" borderId="0" xfId="0" applyFont="1" applyFill="1" applyAlignment="1" applyProtection="1">
      <alignment vertical="center"/>
    </xf>
    <xf numFmtId="0" fontId="40" fillId="9" borderId="0" xfId="0" applyFont="1" applyFill="1" applyAlignment="1">
      <alignment horizontal="left" vertical="center" readingOrder="1"/>
    </xf>
    <xf numFmtId="0" fontId="21" fillId="9" borderId="0" xfId="0" applyFont="1" applyFill="1" applyAlignment="1">
      <alignment vertical="center"/>
    </xf>
    <xf numFmtId="0" fontId="2" fillId="9" borderId="0" xfId="10" applyFill="1" applyBorder="1"/>
    <xf numFmtId="168" fontId="9" fillId="9" borderId="37" xfId="7" applyNumberFormat="1" applyFont="1" applyFill="1" applyBorder="1" applyAlignment="1" applyProtection="1">
      <alignment horizontal="center" vertical="center"/>
    </xf>
    <xf numFmtId="168" fontId="9" fillId="9" borderId="32" xfId="7" applyNumberFormat="1" applyFont="1" applyFill="1" applyBorder="1" applyAlignment="1" applyProtection="1">
      <alignment horizontal="center" vertical="center"/>
    </xf>
    <xf numFmtId="168" fontId="9" fillId="9" borderId="36" xfId="7" applyNumberFormat="1" applyFont="1" applyFill="1" applyBorder="1" applyAlignment="1" applyProtection="1">
      <alignment horizontal="center" vertical="center"/>
    </xf>
    <xf numFmtId="1" fontId="18" fillId="16" borderId="65" xfId="7" applyNumberFormat="1" applyFont="1" applyFill="1" applyBorder="1" applyAlignment="1">
      <alignment horizontal="center"/>
    </xf>
    <xf numFmtId="1" fontId="18" fillId="16" borderId="20" xfId="7" applyNumberFormat="1" applyFont="1" applyFill="1" applyBorder="1" applyAlignment="1">
      <alignment horizontal="center"/>
    </xf>
    <xf numFmtId="1" fontId="18" fillId="16" borderId="23" xfId="7" applyNumberFormat="1" applyFont="1" applyFill="1" applyBorder="1" applyAlignment="1">
      <alignment horizontal="center"/>
    </xf>
    <xf numFmtId="165" fontId="18" fillId="16" borderId="36" xfId="7" applyNumberFormat="1" applyFont="1" applyFill="1" applyBorder="1" applyAlignment="1" applyProtection="1">
      <alignment horizontal="center"/>
    </xf>
    <xf numFmtId="165" fontId="18" fillId="16" borderId="51" xfId="7" applyNumberFormat="1" applyFont="1" applyFill="1" applyBorder="1" applyAlignment="1" applyProtection="1">
      <alignment horizontal="center"/>
    </xf>
    <xf numFmtId="165" fontId="14" fillId="16" borderId="35" xfId="7" applyNumberFormat="1" applyFont="1" applyFill="1" applyBorder="1" applyAlignment="1">
      <alignment horizontal="center"/>
    </xf>
    <xf numFmtId="165" fontId="14" fillId="16" borderId="51" xfId="7" applyNumberFormat="1" applyFont="1" applyFill="1" applyBorder="1" applyAlignment="1">
      <alignment horizontal="center"/>
    </xf>
    <xf numFmtId="165" fontId="14" fillId="16" borderId="31" xfId="7" applyNumberFormat="1" applyFont="1" applyFill="1" applyBorder="1" applyAlignment="1" applyProtection="1">
      <alignment horizontal="center"/>
    </xf>
    <xf numFmtId="165" fontId="14" fillId="16" borderId="51" xfId="7" applyNumberFormat="1" applyFont="1" applyFill="1" applyBorder="1" applyAlignment="1" applyProtection="1">
      <alignment horizontal="center"/>
    </xf>
    <xf numFmtId="0" fontId="41" fillId="12" borderId="0" xfId="11" applyFill="1" applyAlignment="1">
      <alignment vertical="top"/>
    </xf>
    <xf numFmtId="0" fontId="41" fillId="22" borderId="0" xfId="11" applyFill="1" applyAlignment="1">
      <alignment vertical="top"/>
    </xf>
    <xf numFmtId="0" fontId="41" fillId="26" borderId="0" xfId="11" applyFill="1" applyAlignment="1">
      <alignment vertical="top"/>
    </xf>
    <xf numFmtId="0" fontId="41" fillId="27" borderId="0" xfId="11" applyFill="1" applyAlignment="1">
      <alignment vertical="top"/>
    </xf>
    <xf numFmtId="0" fontId="1" fillId="28" borderId="0" xfId="0" applyFont="1" applyFill="1" applyAlignment="1">
      <alignment vertical="top"/>
    </xf>
    <xf numFmtId="0" fontId="1" fillId="28" borderId="0" xfId="0" applyFont="1" applyFill="1" applyAlignment="1">
      <alignment horizontal="justify" vertical="top"/>
    </xf>
    <xf numFmtId="0" fontId="49" fillId="0" borderId="0" xfId="0" applyFont="1"/>
    <xf numFmtId="0" fontId="50" fillId="9" borderId="0" xfId="0" applyFont="1" applyFill="1" applyAlignment="1">
      <alignment horizontal="center" vertical="center"/>
    </xf>
    <xf numFmtId="0" fontId="51" fillId="9" borderId="0" xfId="0" applyFont="1" applyFill="1" applyAlignment="1">
      <alignment horizontal="center" vertical="center"/>
    </xf>
    <xf numFmtId="0" fontId="52" fillId="9" borderId="0" xfId="0" applyFont="1" applyFill="1" applyAlignment="1">
      <alignment horizontal="center" vertical="center"/>
    </xf>
    <xf numFmtId="0" fontId="53" fillId="9" borderId="0" xfId="0" applyFont="1" applyFill="1" applyAlignment="1">
      <alignment horizontal="center" vertical="center"/>
    </xf>
    <xf numFmtId="0" fontId="14" fillId="13" borderId="105" xfId="0" applyFont="1" applyFill="1" applyBorder="1" applyAlignment="1" applyProtection="1">
      <alignment horizontal="center" vertical="top" wrapText="1"/>
      <protection hidden="1"/>
    </xf>
    <xf numFmtId="0" fontId="14" fillId="9" borderId="10" xfId="0" applyFont="1" applyFill="1" applyBorder="1" applyAlignment="1" applyProtection="1">
      <alignment horizontal="right" vertical="center" wrapText="1"/>
      <protection hidden="1"/>
    </xf>
    <xf numFmtId="0" fontId="14" fillId="9" borderId="0" xfId="0" applyFont="1" applyFill="1" applyBorder="1" applyAlignment="1" applyProtection="1">
      <alignment horizontal="right" vertical="center" wrapText="1"/>
      <protection hidden="1"/>
    </xf>
    <xf numFmtId="0" fontId="9" fillId="9" borderId="29" xfId="0" applyFont="1" applyFill="1" applyBorder="1" applyAlignment="1" applyProtection="1">
      <alignment horizontal="left" vertical="center" wrapText="1" indent="1"/>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14" borderId="110" xfId="0" applyFont="1" applyFill="1" applyBorder="1" applyAlignment="1" applyProtection="1">
      <alignment horizontal="center" vertical="center"/>
      <protection locked="0" hidden="1"/>
    </xf>
    <xf numFmtId="187" fontId="24" fillId="9" borderId="61" xfId="1" applyNumberFormat="1" applyFont="1" applyFill="1" applyBorder="1" applyAlignment="1" applyProtection="1">
      <alignment horizontal="center"/>
      <protection hidden="1"/>
    </xf>
    <xf numFmtId="187" fontId="24" fillId="9" borderId="10" xfId="1" applyNumberFormat="1" applyFont="1" applyFill="1" applyBorder="1" applyAlignment="1" applyProtection="1">
      <alignment horizontal="center"/>
      <protection hidden="1"/>
    </xf>
    <xf numFmtId="187" fontId="24" fillId="25" borderId="10" xfId="1" applyNumberFormat="1" applyFont="1" applyFill="1" applyBorder="1" applyAlignment="1" applyProtection="1">
      <alignment horizontal="center"/>
      <protection hidden="1"/>
    </xf>
    <xf numFmtId="177" fontId="9" fillId="16" borderId="24" xfId="7" applyNumberFormat="1" applyFont="1" applyFill="1" applyBorder="1" applyAlignment="1" applyProtection="1">
      <alignment horizontal="left" vertical="center"/>
      <protection locked="0"/>
    </xf>
    <xf numFmtId="1" fontId="44" fillId="25" borderId="48" xfId="7" applyNumberFormat="1" applyFont="1" applyFill="1" applyBorder="1" applyAlignment="1">
      <alignment horizontal="center" vertical="center"/>
    </xf>
    <xf numFmtId="164" fontId="9" fillId="9" borderId="3" xfId="1" applyFont="1" applyFill="1" applyBorder="1" applyAlignment="1" applyProtection="1">
      <alignment horizontal="center"/>
      <protection hidden="1"/>
    </xf>
    <xf numFmtId="49" fontId="9" fillId="15" borderId="0" xfId="5" applyNumberFormat="1" applyFont="1" applyFill="1" applyBorder="1" applyAlignment="1" applyProtection="1">
      <alignment vertical="center"/>
      <protection locked="0" hidden="1"/>
    </xf>
    <xf numFmtId="0" fontId="9" fillId="15" borderId="9" xfId="5" applyFont="1" applyFill="1" applyBorder="1" applyAlignment="1" applyProtection="1">
      <alignment horizontal="center" vertical="center"/>
      <protection locked="0" hidden="1"/>
    </xf>
    <xf numFmtId="165" fontId="9" fillId="15" borderId="0" xfId="5" applyNumberFormat="1" applyFont="1" applyFill="1" applyBorder="1" applyAlignment="1" applyProtection="1">
      <alignment horizontal="center" vertical="center"/>
      <protection locked="0" hidden="1"/>
    </xf>
    <xf numFmtId="1" fontId="9" fillId="15" borderId="10" xfId="5" applyNumberFormat="1" applyFont="1" applyFill="1" applyBorder="1" applyAlignment="1" applyProtection="1">
      <alignment horizontal="center" vertical="center"/>
      <protection locked="0" hidden="1"/>
    </xf>
    <xf numFmtId="9" fontId="9" fillId="15" borderId="0" xfId="2" applyFont="1" applyFill="1" applyBorder="1" applyAlignment="1" applyProtection="1">
      <alignment horizontal="center" vertical="center"/>
      <protection locked="0" hidden="1"/>
    </xf>
    <xf numFmtId="1" fontId="9" fillId="15" borderId="0" xfId="5" applyNumberFormat="1" applyFont="1" applyFill="1" applyBorder="1" applyAlignment="1" applyProtection="1">
      <alignment horizontal="center" vertical="center"/>
      <protection locked="0" hidden="1"/>
    </xf>
    <xf numFmtId="1" fontId="9" fillId="15" borderId="0" xfId="1" applyNumberFormat="1" applyFont="1" applyFill="1" applyBorder="1" applyAlignment="1" applyProtection="1">
      <alignment horizontal="center" vertical="center"/>
      <protection locked="0" hidden="1"/>
    </xf>
    <xf numFmtId="2" fontId="9" fillId="15" borderId="0" xfId="5" applyNumberFormat="1" applyFont="1" applyFill="1" applyBorder="1" applyAlignment="1" applyProtection="1">
      <alignment horizontal="center" vertical="center"/>
      <protection locked="0" hidden="1"/>
    </xf>
    <xf numFmtId="0" fontId="9" fillId="15" borderId="0" xfId="5" applyNumberFormat="1" applyFont="1" applyFill="1" applyBorder="1" applyAlignment="1" applyProtection="1">
      <alignment horizontal="center" vertical="center"/>
      <protection locked="0" hidden="1"/>
    </xf>
    <xf numFmtId="0" fontId="9" fillId="15" borderId="0" xfId="5" applyFont="1" applyFill="1" applyBorder="1" applyAlignment="1" applyProtection="1">
      <alignment horizontal="center" vertical="center"/>
      <protection locked="0" hidden="1"/>
    </xf>
    <xf numFmtId="165" fontId="9" fillId="15" borderId="29" xfId="5" applyNumberFormat="1" applyFont="1" applyFill="1" applyBorder="1" applyAlignment="1" applyProtection="1">
      <alignment horizontal="center" vertical="center"/>
      <protection locked="0" hidden="1"/>
    </xf>
    <xf numFmtId="1" fontId="9" fillId="15" borderId="9" xfId="5" applyNumberFormat="1" applyFont="1" applyFill="1" applyBorder="1" applyAlignment="1" applyProtection="1">
      <alignment horizontal="center" vertical="center"/>
      <protection locked="0" hidden="1"/>
    </xf>
    <xf numFmtId="9" fontId="9" fillId="15" borderId="0" xfId="5" applyNumberFormat="1" applyFont="1" applyFill="1" applyBorder="1" applyAlignment="1" applyProtection="1">
      <alignment horizontal="center" vertical="center"/>
      <protection locked="0" hidden="1"/>
    </xf>
    <xf numFmtId="1" fontId="9" fillId="15" borderId="0" xfId="2" applyNumberFormat="1" applyFont="1" applyFill="1" applyBorder="1" applyAlignment="1" applyProtection="1">
      <alignment horizontal="center" vertical="center"/>
      <protection locked="0" hidden="1"/>
    </xf>
    <xf numFmtId="0" fontId="9" fillId="15" borderId="0" xfId="2" applyNumberFormat="1" applyFont="1" applyFill="1" applyBorder="1" applyAlignment="1" applyProtection="1">
      <alignment horizontal="center" vertical="center"/>
      <protection locked="0" hidden="1"/>
    </xf>
    <xf numFmtId="49" fontId="9" fillId="15" borderId="13" xfId="5" applyNumberFormat="1" applyFont="1" applyFill="1" applyBorder="1" applyAlignment="1" applyProtection="1">
      <alignment vertical="center"/>
      <protection locked="0" hidden="1"/>
    </xf>
    <xf numFmtId="167" fontId="9" fillId="15" borderId="12"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horizontal="center" vertical="center"/>
      <protection locked="0" hidden="1"/>
    </xf>
    <xf numFmtId="167" fontId="9" fillId="15" borderId="14" xfId="5" applyNumberFormat="1" applyFont="1" applyFill="1" applyBorder="1" applyAlignment="1" applyProtection="1">
      <alignment horizontal="center" vertical="center"/>
      <protection locked="0" hidden="1"/>
    </xf>
    <xf numFmtId="0" fontId="9" fillId="15" borderId="13"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vertical="center"/>
      <protection locked="0" hidden="1"/>
    </xf>
    <xf numFmtId="167" fontId="9" fillId="15" borderId="45" xfId="5" applyNumberFormat="1" applyFont="1" applyFill="1" applyBorder="1" applyAlignment="1" applyProtection="1">
      <alignment vertical="center"/>
      <protection locked="0" hidden="1"/>
    </xf>
    <xf numFmtId="49" fontId="36" fillId="16" borderId="0" xfId="5" applyNumberFormat="1" applyFont="1" applyFill="1" applyBorder="1" applyAlignment="1" applyProtection="1">
      <alignment vertical="center"/>
      <protection locked="0" hidden="1"/>
    </xf>
    <xf numFmtId="167" fontId="9" fillId="16" borderId="9"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horizontal="center" vertical="center"/>
      <protection locked="0" hidden="1"/>
    </xf>
    <xf numFmtId="167" fontId="9" fillId="16" borderId="10"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vertical="center"/>
      <protection locked="0" hidden="1"/>
    </xf>
    <xf numFmtId="167" fontId="9" fillId="16" borderId="29" xfId="5" applyNumberFormat="1" applyFont="1" applyFill="1" applyBorder="1" applyAlignment="1" applyProtection="1">
      <alignment vertical="center"/>
      <protection locked="0" hidden="1"/>
    </xf>
    <xf numFmtId="0" fontId="9" fillId="15" borderId="0" xfId="5" applyFont="1" applyFill="1" applyBorder="1" applyAlignment="1" applyProtection="1">
      <alignment vertical="center"/>
      <protection locked="0" hidden="1"/>
    </xf>
    <xf numFmtId="0" fontId="9" fillId="15" borderId="29" xfId="5" applyFont="1" applyFill="1" applyBorder="1" applyAlignment="1" applyProtection="1">
      <alignment horizontal="center" vertical="center"/>
      <protection locked="0" hidden="1"/>
    </xf>
    <xf numFmtId="9" fontId="9" fillId="15" borderId="0" xfId="3" applyFont="1" applyFill="1" applyBorder="1" applyAlignment="1" applyProtection="1">
      <alignment horizontal="center" vertical="center"/>
      <protection locked="0" hidden="1"/>
    </xf>
    <xf numFmtId="49" fontId="37" fillId="15" borderId="0" xfId="5" applyNumberFormat="1" applyFont="1" applyFill="1" applyBorder="1" applyAlignment="1" applyProtection="1">
      <alignment vertical="center"/>
      <protection locked="0" hidden="1"/>
    </xf>
    <xf numFmtId="0" fontId="37" fillId="15" borderId="9" xfId="5" applyFont="1" applyFill="1" applyBorder="1" applyAlignment="1" applyProtection="1">
      <alignment horizontal="center" vertical="center"/>
      <protection locked="0" hidden="1"/>
    </xf>
    <xf numFmtId="165" fontId="37" fillId="15" borderId="0" xfId="5" applyNumberFormat="1" applyFont="1" applyFill="1" applyBorder="1" applyAlignment="1" applyProtection="1">
      <alignment horizontal="center" vertical="center"/>
      <protection locked="0" hidden="1"/>
    </xf>
    <xf numFmtId="1" fontId="37" fillId="15" borderId="10" xfId="5" applyNumberFormat="1" applyFont="1" applyFill="1" applyBorder="1" applyAlignment="1" applyProtection="1">
      <alignment horizontal="center" vertical="center"/>
      <protection locked="0" hidden="1"/>
    </xf>
    <xf numFmtId="9" fontId="37" fillId="15" borderId="0" xfId="2" applyFont="1" applyFill="1" applyBorder="1" applyAlignment="1" applyProtection="1">
      <alignment horizontal="center" vertical="center"/>
      <protection locked="0" hidden="1"/>
    </xf>
    <xf numFmtId="1" fontId="37" fillId="15" borderId="0" xfId="5" applyNumberFormat="1" applyFont="1" applyFill="1" applyBorder="1" applyAlignment="1" applyProtection="1">
      <alignment horizontal="center" vertical="center"/>
      <protection locked="0" hidden="1"/>
    </xf>
    <xf numFmtId="0" fontId="37" fillId="15" borderId="0" xfId="5" applyFont="1" applyFill="1" applyBorder="1" applyAlignment="1" applyProtection="1">
      <alignment horizontal="center" vertical="center"/>
      <protection locked="0" hidden="1"/>
    </xf>
    <xf numFmtId="1" fontId="9" fillId="15" borderId="0" xfId="5" applyNumberFormat="1" applyFont="1" applyFill="1" applyBorder="1" applyAlignment="1" applyProtection="1">
      <alignment vertical="center"/>
      <protection locked="0" hidden="1"/>
    </xf>
    <xf numFmtId="0" fontId="9" fillId="15" borderId="0" xfId="0" applyFont="1" applyFill="1" applyBorder="1" applyProtection="1">
      <protection locked="0" hidden="1"/>
    </xf>
    <xf numFmtId="49" fontId="9" fillId="15" borderId="0" xfId="5" applyNumberFormat="1" applyFont="1" applyFill="1" applyBorder="1" applyAlignment="1" applyProtection="1">
      <alignment horizontal="center" vertical="center"/>
      <protection locked="0" hidden="1"/>
    </xf>
    <xf numFmtId="0" fontId="14" fillId="9" borderId="52" xfId="0" applyFont="1" applyFill="1" applyBorder="1" applyAlignment="1" applyProtection="1">
      <alignment horizontal="left" vertical="center"/>
    </xf>
    <xf numFmtId="0" fontId="14" fillId="9" borderId="56" xfId="0" applyFont="1" applyFill="1" applyBorder="1" applyAlignment="1" applyProtection="1">
      <alignment horizontal="center" vertical="center"/>
    </xf>
    <xf numFmtId="1" fontId="9" fillId="16" borderId="0" xfId="5" applyNumberFormat="1" applyFont="1" applyFill="1" applyBorder="1" applyAlignment="1">
      <alignment horizontal="center" vertical="center"/>
    </xf>
    <xf numFmtId="1" fontId="9" fillId="16" borderId="59" xfId="5" applyNumberFormat="1" applyFont="1" applyFill="1" applyBorder="1" applyAlignment="1">
      <alignment horizontal="center" vertical="center"/>
    </xf>
    <xf numFmtId="0" fontId="9" fillId="16" borderId="13" xfId="5" applyFont="1" applyFill="1" applyBorder="1" applyAlignment="1">
      <alignment horizontal="center" vertical="center"/>
    </xf>
    <xf numFmtId="0" fontId="9" fillId="9" borderId="0" xfId="0" applyFont="1" applyFill="1" applyBorder="1" applyAlignment="1" applyProtection="1">
      <alignment horizontal="left" vertical="center" wrapText="1" indent="1"/>
      <protection hidden="1"/>
    </xf>
    <xf numFmtId="49" fontId="14" fillId="24" borderId="98" xfId="0" applyNumberFormat="1" applyFont="1" applyFill="1" applyBorder="1" applyAlignment="1" applyProtection="1">
      <alignment horizontal="left" vertical="center" wrapText="1"/>
    </xf>
    <xf numFmtId="1" fontId="14" fillId="24" borderId="21" xfId="0" applyNumberFormat="1" applyFont="1" applyFill="1" applyBorder="1" applyAlignment="1" applyProtection="1">
      <alignment horizontal="center" vertical="center" wrapText="1"/>
    </xf>
    <xf numFmtId="0" fontId="2" fillId="15" borderId="13" xfId="5" applyFill="1" applyBorder="1" applyAlignment="1">
      <alignment horizontal="centerContinuous" vertical="center"/>
    </xf>
    <xf numFmtId="0" fontId="9" fillId="16" borderId="119" xfId="5" applyFont="1" applyFill="1" applyBorder="1" applyAlignment="1">
      <alignment horizontal="center" vertical="center"/>
    </xf>
    <xf numFmtId="0" fontId="9" fillId="16" borderId="119" xfId="5" applyFont="1" applyFill="1" applyBorder="1" applyAlignment="1">
      <alignment horizontal="centerContinuous" vertical="center"/>
    </xf>
    <xf numFmtId="0" fontId="9" fillId="16" borderId="9" xfId="5" applyFont="1" applyFill="1" applyBorder="1" applyAlignment="1">
      <alignment vertical="center"/>
    </xf>
    <xf numFmtId="0" fontId="9" fillId="16" borderId="12" xfId="5" applyFont="1" applyFill="1" applyBorder="1" applyAlignment="1">
      <alignment vertical="center"/>
    </xf>
    <xf numFmtId="0" fontId="9" fillId="0" borderId="29" xfId="5" applyFont="1" applyBorder="1" applyAlignment="1" applyProtection="1">
      <alignment vertical="center"/>
      <protection locked="0"/>
    </xf>
    <xf numFmtId="165" fontId="9" fillId="0" borderId="29" xfId="5" applyNumberFormat="1" applyFont="1" applyFill="1" applyBorder="1" applyAlignment="1" applyProtection="1">
      <alignment horizontal="center" vertical="center"/>
      <protection locked="0"/>
    </xf>
    <xf numFmtId="1" fontId="9" fillId="15" borderId="29" xfId="5" applyNumberFormat="1" applyFont="1" applyFill="1" applyBorder="1" applyAlignment="1" applyProtection="1">
      <alignment horizontal="center" vertical="center"/>
      <protection locked="0" hidden="1"/>
    </xf>
    <xf numFmtId="167" fontId="2" fillId="15" borderId="29" xfId="5" applyNumberFormat="1" applyFill="1" applyBorder="1" applyAlignment="1">
      <alignment vertical="center"/>
    </xf>
    <xf numFmtId="0" fontId="2" fillId="0" borderId="0" xfId="5" applyBorder="1" applyAlignment="1">
      <alignment vertical="center"/>
    </xf>
    <xf numFmtId="49" fontId="2" fillId="0" borderId="0" xfId="5" applyNumberFormat="1" applyFont="1" applyBorder="1" applyAlignment="1">
      <alignment vertical="center"/>
    </xf>
    <xf numFmtId="0" fontId="2" fillId="0" borderId="0" xfId="5" applyBorder="1" applyAlignment="1">
      <alignment horizontal="center" vertical="center"/>
    </xf>
    <xf numFmtId="165" fontId="2" fillId="0" borderId="0" xfId="5" applyNumberFormat="1" applyBorder="1" applyAlignment="1">
      <alignment horizontal="center" vertical="center"/>
    </xf>
    <xf numFmtId="49" fontId="2" fillId="0" borderId="0" xfId="5" applyNumberFormat="1" applyBorder="1" applyAlignment="1">
      <alignment horizontal="center" vertical="center"/>
    </xf>
    <xf numFmtId="1" fontId="2" fillId="0" borderId="0" xfId="5" applyNumberFormat="1" applyBorder="1" applyAlignment="1">
      <alignment horizontal="center" vertical="center"/>
    </xf>
    <xf numFmtId="0" fontId="21" fillId="15" borderId="111" xfId="5" applyFont="1" applyFill="1" applyBorder="1" applyAlignment="1">
      <alignment vertical="center"/>
    </xf>
    <xf numFmtId="0" fontId="21" fillId="15" borderId="112" xfId="5" applyFont="1" applyFill="1" applyBorder="1" applyAlignment="1">
      <alignment vertical="center"/>
    </xf>
    <xf numFmtId="0" fontId="2" fillId="15" borderId="120" xfId="5" applyFill="1" applyBorder="1" applyAlignment="1">
      <alignment horizontal="centerContinuous" vertical="center"/>
    </xf>
    <xf numFmtId="0" fontId="9" fillId="16" borderId="8" xfId="5" applyFont="1" applyFill="1" applyBorder="1" applyAlignment="1">
      <alignment horizontal="center" vertical="center"/>
    </xf>
    <xf numFmtId="0" fontId="9" fillId="16" borderId="8" xfId="5" applyFont="1" applyFill="1" applyBorder="1" applyAlignment="1">
      <alignment vertical="center"/>
    </xf>
    <xf numFmtId="0" fontId="14" fillId="16" borderId="8" xfId="5" applyFont="1" applyFill="1" applyBorder="1" applyAlignment="1">
      <alignment horizontal="center" vertical="center"/>
    </xf>
    <xf numFmtId="167" fontId="9" fillId="16" borderId="8" xfId="5" applyNumberFormat="1" applyFont="1" applyFill="1" applyBorder="1" applyAlignment="1">
      <alignment vertical="center"/>
    </xf>
    <xf numFmtId="167" fontId="9" fillId="15" borderId="8" xfId="5" applyNumberFormat="1" applyFont="1" applyFill="1" applyBorder="1" applyAlignment="1">
      <alignment vertical="center"/>
    </xf>
    <xf numFmtId="167" fontId="9" fillId="15" borderId="8" xfId="5" applyNumberFormat="1" applyFont="1" applyFill="1" applyBorder="1" applyAlignment="1" applyProtection="1">
      <alignment vertical="center"/>
    </xf>
    <xf numFmtId="167" fontId="9" fillId="15" borderId="8" xfId="5" applyNumberFormat="1" applyFont="1" applyFill="1" applyBorder="1" applyAlignment="1" applyProtection="1">
      <alignment vertical="center"/>
      <protection locked="0" hidden="1"/>
    </xf>
    <xf numFmtId="167" fontId="9" fillId="16" borderId="8" xfId="5" applyNumberFormat="1" applyFont="1" applyFill="1" applyBorder="1" applyAlignment="1" applyProtection="1">
      <alignment vertical="center"/>
      <protection locked="0" hidden="1"/>
    </xf>
    <xf numFmtId="167" fontId="2" fillId="15" borderId="8" xfId="5" applyNumberFormat="1" applyFill="1" applyBorder="1" applyAlignment="1">
      <alignment vertical="center"/>
    </xf>
    <xf numFmtId="0" fontId="21" fillId="15" borderId="113" xfId="5" applyFont="1" applyFill="1" applyBorder="1" applyAlignment="1">
      <alignment vertical="center"/>
    </xf>
    <xf numFmtId="0" fontId="9" fillId="25" borderId="42" xfId="7" applyFont="1" applyFill="1" applyBorder="1" applyAlignment="1">
      <alignment horizontal="center" vertical="center" wrapText="1"/>
    </xf>
    <xf numFmtId="2" fontId="9" fillId="25" borderId="23" xfId="7" applyNumberFormat="1" applyFont="1" applyFill="1" applyBorder="1" applyAlignment="1" applyProtection="1">
      <alignment horizontal="center" vertical="center"/>
    </xf>
    <xf numFmtId="2" fontId="9" fillId="25" borderId="23" xfId="7" applyNumberFormat="1" applyFont="1" applyFill="1" applyBorder="1" applyAlignment="1">
      <alignment horizontal="center" vertical="center"/>
    </xf>
    <xf numFmtId="9" fontId="46" fillId="22" borderId="39" xfId="2" applyFont="1" applyFill="1" applyBorder="1" applyAlignment="1">
      <alignment horizontal="center" vertical="center"/>
    </xf>
    <xf numFmtId="9" fontId="46" fillId="22" borderId="80" xfId="2" applyFont="1" applyFill="1" applyBorder="1" applyAlignment="1">
      <alignment horizontal="center" vertical="center"/>
    </xf>
    <xf numFmtId="0" fontId="46" fillId="22" borderId="80" xfId="1" applyNumberFormat="1" applyFont="1" applyFill="1" applyBorder="1" applyAlignment="1">
      <alignment horizontal="center" vertical="center"/>
    </xf>
    <xf numFmtId="0" fontId="46" fillId="22" borderId="80" xfId="2" applyNumberFormat="1" applyFont="1" applyFill="1" applyBorder="1" applyAlignment="1">
      <alignment horizontal="center" vertical="center"/>
    </xf>
    <xf numFmtId="2" fontId="44" fillId="25" borderId="36" xfId="7" applyNumberFormat="1" applyFont="1" applyFill="1" applyBorder="1" applyAlignment="1">
      <alignment horizontal="center" vertical="center"/>
    </xf>
    <xf numFmtId="1" fontId="44" fillId="25" borderId="21" xfId="7" applyNumberFormat="1" applyFont="1" applyFill="1" applyBorder="1" applyAlignment="1">
      <alignment horizontal="center" vertical="center"/>
    </xf>
    <xf numFmtId="165" fontId="44" fillId="25" borderId="21" xfId="7" applyNumberFormat="1" applyFont="1" applyFill="1" applyBorder="1" applyAlignment="1">
      <alignment horizontal="center" vertical="center"/>
    </xf>
    <xf numFmtId="2" fontId="44" fillId="25" borderId="21" xfId="7" applyNumberFormat="1" applyFont="1" applyFill="1" applyBorder="1" applyAlignment="1">
      <alignment horizontal="center" vertical="center"/>
    </xf>
    <xf numFmtId="184" fontId="21" fillId="25" borderId="75" xfId="7" applyNumberFormat="1" applyFont="1" applyFill="1" applyBorder="1" applyAlignment="1">
      <alignment horizontal="center" vertical="center"/>
    </xf>
    <xf numFmtId="2" fontId="43" fillId="25" borderId="51" xfId="7" applyNumberFormat="1" applyFont="1" applyFill="1" applyBorder="1" applyAlignment="1">
      <alignment horizontal="center" vertical="center"/>
    </xf>
    <xf numFmtId="2" fontId="9" fillId="15"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Fill="1" applyBorder="1" applyAlignment="1" applyProtection="1">
      <alignment horizontal="center" vertical="center"/>
      <protection locked="0"/>
    </xf>
    <xf numFmtId="2" fontId="9" fillId="15" borderId="8" xfId="5" applyNumberFormat="1" applyFont="1" applyFill="1" applyBorder="1" applyAlignment="1" applyProtection="1">
      <alignment horizontal="center" vertical="center"/>
    </xf>
    <xf numFmtId="2" fontId="9" fillId="15" borderId="8" xfId="5" applyNumberFormat="1" applyFont="1" applyFill="1" applyBorder="1" applyAlignment="1" applyProtection="1">
      <alignment horizontal="center" vertical="center"/>
      <protection locked="0" hidden="1"/>
    </xf>
    <xf numFmtId="2" fontId="9" fillId="25" borderId="76" xfId="7" applyNumberFormat="1" applyFont="1" applyFill="1" applyBorder="1" applyAlignment="1">
      <alignment horizontal="center" vertical="center"/>
    </xf>
    <xf numFmtId="0" fontId="46" fillId="22" borderId="121" xfId="2" applyNumberFormat="1" applyFont="1" applyFill="1" applyBorder="1" applyAlignment="1">
      <alignment horizontal="center" vertical="center"/>
    </xf>
    <xf numFmtId="1" fontId="44" fillId="25" borderId="35" xfId="7" applyNumberFormat="1" applyFont="1" applyFill="1" applyBorder="1" applyAlignment="1">
      <alignment horizontal="center" vertical="center"/>
    </xf>
    <xf numFmtId="0" fontId="9" fillId="25" borderId="38" xfId="7" applyFont="1" applyFill="1" applyBorder="1" applyAlignment="1">
      <alignment horizontal="center" vertical="center" wrapText="1"/>
    </xf>
    <xf numFmtId="170" fontId="9" fillId="24" borderId="64" xfId="7" applyNumberFormat="1" applyFont="1" applyFill="1" applyBorder="1" applyAlignment="1">
      <alignment horizontal="center" vertical="center"/>
    </xf>
    <xf numFmtId="2" fontId="44" fillId="25" borderId="51" xfId="7" applyNumberFormat="1" applyFont="1" applyFill="1" applyBorder="1" applyAlignment="1">
      <alignment horizontal="center" vertical="center"/>
    </xf>
    <xf numFmtId="0" fontId="14" fillId="25" borderId="51" xfId="7" applyFont="1" applyFill="1" applyBorder="1" applyAlignment="1">
      <alignment horizontal="centerContinuous"/>
    </xf>
    <xf numFmtId="2" fontId="9" fillId="25" borderId="74" xfId="7" applyNumberFormat="1" applyFont="1" applyFill="1" applyBorder="1" applyAlignment="1">
      <alignment horizontal="center" vertical="center"/>
    </xf>
    <xf numFmtId="2" fontId="9" fillId="25" borderId="75" xfId="7" applyNumberFormat="1" applyFont="1" applyFill="1" applyBorder="1" applyAlignment="1">
      <alignment horizontal="center" vertical="center"/>
    </xf>
    <xf numFmtId="2" fontId="9" fillId="25" borderId="18" xfId="7" applyNumberFormat="1" applyFont="1" applyFill="1" applyBorder="1" applyAlignment="1">
      <alignment horizontal="center" vertical="center"/>
    </xf>
    <xf numFmtId="0" fontId="9" fillId="25" borderId="65" xfId="7" applyFont="1" applyFill="1" applyBorder="1" applyAlignment="1">
      <alignment horizontal="centerContinuous"/>
    </xf>
    <xf numFmtId="0" fontId="9" fillId="25" borderId="109" xfId="7" applyFont="1" applyFill="1" applyBorder="1" applyAlignment="1">
      <alignment horizontal="center" vertical="center"/>
    </xf>
    <xf numFmtId="169" fontId="9" fillId="25" borderId="18" xfId="7" applyNumberFormat="1" applyFont="1" applyFill="1" applyBorder="1" applyAlignment="1">
      <alignment horizontal="center" vertical="center" wrapText="1"/>
    </xf>
    <xf numFmtId="0" fontId="49" fillId="22" borderId="51" xfId="7" applyFont="1" applyFill="1" applyBorder="1" applyAlignment="1">
      <alignment horizontal="center" vertical="center" wrapText="1"/>
    </xf>
    <xf numFmtId="1" fontId="14" fillId="9" borderId="110" xfId="0" applyNumberFormat="1" applyFont="1" applyFill="1" applyBorder="1" applyAlignment="1" applyProtection="1">
      <alignment horizontal="center" vertical="center"/>
    </xf>
    <xf numFmtId="2" fontId="9" fillId="9" borderId="37" xfId="7" applyNumberFormat="1" applyFont="1" applyFill="1" applyBorder="1" applyAlignment="1" applyProtection="1">
      <alignment horizontal="center" vertical="center"/>
    </xf>
    <xf numFmtId="166" fontId="9" fillId="9" borderId="37" xfId="7" applyNumberFormat="1" applyFont="1" applyFill="1" applyBorder="1" applyAlignment="1" applyProtection="1">
      <alignment horizontal="center" vertical="center"/>
    </xf>
    <xf numFmtId="0" fontId="14" fillId="9" borderId="122" xfId="0" applyNumberFormat="1" applyFont="1" applyFill="1" applyBorder="1" applyAlignment="1" applyProtection="1">
      <alignment horizontal="left" vertical="center"/>
    </xf>
    <xf numFmtId="165" fontId="14" fillId="9" borderId="119" xfId="0" applyNumberFormat="1" applyFont="1" applyFill="1" applyBorder="1" applyAlignment="1" applyProtection="1">
      <alignment horizontal="center" vertical="center"/>
    </xf>
    <xf numFmtId="165" fontId="14" fillId="9" borderId="69" xfId="0" applyNumberFormat="1" applyFont="1" applyFill="1" applyBorder="1" applyAlignment="1" applyProtection="1">
      <alignment horizontal="center" vertical="center"/>
    </xf>
    <xf numFmtId="0" fontId="14" fillId="9" borderId="72" xfId="0" applyNumberFormat="1" applyFont="1" applyFill="1" applyBorder="1" applyAlignment="1" applyProtection="1">
      <alignment horizontal="left" vertical="center"/>
    </xf>
    <xf numFmtId="2" fontId="14" fillId="9" borderId="20" xfId="0" applyNumberFormat="1" applyFont="1" applyFill="1" applyBorder="1" applyAlignment="1" applyProtection="1">
      <alignment horizontal="center" vertical="center"/>
    </xf>
    <xf numFmtId="2" fontId="14" fillId="9" borderId="23" xfId="0" applyNumberFormat="1" applyFont="1" applyFill="1" applyBorder="1" applyAlignment="1" applyProtection="1">
      <alignment horizontal="center" vertical="center"/>
    </xf>
    <xf numFmtId="2" fontId="9" fillId="9" borderId="32" xfId="7" applyNumberFormat="1" applyFont="1" applyFill="1" applyBorder="1" applyAlignment="1" applyProtection="1">
      <alignment horizontal="center" vertical="center"/>
    </xf>
    <xf numFmtId="0" fontId="14" fillId="16" borderId="123" xfId="0" applyFont="1" applyFill="1" applyBorder="1" applyAlignment="1">
      <alignment horizontal="center"/>
    </xf>
    <xf numFmtId="165" fontId="14" fillId="16" borderId="9" xfId="0" applyNumberFormat="1" applyFont="1" applyFill="1" applyBorder="1" applyAlignment="1">
      <alignment horizontal="center"/>
    </xf>
    <xf numFmtId="0" fontId="14" fillId="16" borderId="124" xfId="0" applyFont="1" applyFill="1" applyBorder="1"/>
    <xf numFmtId="0" fontId="14" fillId="16" borderId="29" xfId="0" applyFont="1" applyFill="1" applyBorder="1"/>
    <xf numFmtId="0" fontId="9" fillId="16" borderId="29" xfId="0" applyFont="1" applyFill="1" applyBorder="1"/>
    <xf numFmtId="0" fontId="9" fillId="16" borderId="45" xfId="0" applyFont="1" applyFill="1" applyBorder="1"/>
    <xf numFmtId="0" fontId="9" fillId="15" borderId="2" xfId="0" applyFont="1" applyFill="1" applyBorder="1" applyAlignment="1">
      <alignment horizontal="left" vertical="center"/>
    </xf>
    <xf numFmtId="170" fontId="9" fillId="7" borderId="33" xfId="7" applyNumberFormat="1" applyFont="1" applyFill="1" applyBorder="1" applyAlignment="1" applyProtection="1">
      <alignment horizontal="left" vertical="center"/>
      <protection locked="0"/>
    </xf>
    <xf numFmtId="170" fontId="9" fillId="7" borderId="22" xfId="7" applyNumberFormat="1" applyFont="1" applyFill="1" applyBorder="1" applyAlignment="1" applyProtection="1">
      <alignment horizontal="left" vertical="center"/>
      <protection locked="0"/>
    </xf>
    <xf numFmtId="0" fontId="9" fillId="19" borderId="14" xfId="0" applyFont="1" applyFill="1" applyBorder="1" applyAlignment="1">
      <alignment horizontal="left" vertical="center"/>
    </xf>
    <xf numFmtId="0" fontId="9" fillId="15" borderId="0" xfId="0" applyFont="1" applyFill="1" applyBorder="1" applyAlignment="1">
      <alignment horizontal="left" vertical="center"/>
    </xf>
    <xf numFmtId="0" fontId="9" fillId="16" borderId="61" xfId="0" applyFont="1" applyFill="1" applyBorder="1" applyAlignment="1">
      <alignment horizontal="left" vertical="center"/>
    </xf>
    <xf numFmtId="0" fontId="9" fillId="16" borderId="10" xfId="0" applyFont="1" applyFill="1" applyBorder="1" applyAlignment="1">
      <alignment horizontal="left" vertical="center"/>
    </xf>
    <xf numFmtId="0" fontId="9" fillId="16" borderId="14" xfId="0" applyFont="1" applyFill="1" applyBorder="1" applyAlignment="1">
      <alignment horizontal="left" vertical="center"/>
    </xf>
    <xf numFmtId="0" fontId="21" fillId="15" borderId="6" xfId="0" applyFont="1" applyFill="1" applyBorder="1" applyAlignment="1">
      <alignment horizontal="left" vertical="center"/>
    </xf>
    <xf numFmtId="0" fontId="9" fillId="15" borderId="0" xfId="0" applyFont="1" applyFill="1" applyAlignment="1">
      <alignment horizontal="left" vertical="center"/>
    </xf>
    <xf numFmtId="167" fontId="0" fillId="15" borderId="3" xfId="0" applyNumberFormat="1" applyFill="1" applyBorder="1" applyProtection="1">
      <protection locked="0"/>
    </xf>
    <xf numFmtId="0" fontId="14" fillId="13" borderId="125" xfId="0" applyFont="1" applyFill="1" applyBorder="1" applyAlignment="1" applyProtection="1">
      <alignment horizontal="center" vertical="top" wrapText="1"/>
      <protection hidden="1"/>
    </xf>
    <xf numFmtId="0" fontId="9" fillId="9" borderId="0" xfId="0" applyFont="1" applyFill="1" applyBorder="1" applyAlignment="1" applyProtection="1">
      <alignment vertical="center" wrapText="1"/>
      <protection hidden="1"/>
    </xf>
    <xf numFmtId="2" fontId="14" fillId="9" borderId="12" xfId="1" applyNumberFormat="1" applyFont="1" applyFill="1" applyBorder="1" applyAlignment="1" applyProtection="1">
      <alignment horizontal="center"/>
      <protection hidden="1"/>
    </xf>
    <xf numFmtId="0" fontId="9" fillId="16" borderId="70" xfId="7" applyFont="1" applyFill="1" applyBorder="1" applyAlignment="1" applyProtection="1">
      <alignment horizontal="left" vertical="center"/>
    </xf>
    <xf numFmtId="0" fontId="9" fillId="16" borderId="0" xfId="7" applyFont="1" applyFill="1" applyBorder="1" applyAlignment="1" applyProtection="1">
      <alignment horizontal="left" vertical="center"/>
    </xf>
    <xf numFmtId="0" fontId="9" fillId="16" borderId="28" xfId="0" applyFont="1" applyFill="1" applyBorder="1" applyAlignment="1" applyProtection="1">
      <alignment horizontal="left"/>
    </xf>
    <xf numFmtId="0" fontId="9" fillId="4" borderId="42" xfId="7" applyFont="1" applyFill="1" applyBorder="1" applyAlignment="1" applyProtection="1">
      <alignment horizontal="center" vertical="center" wrapText="1"/>
    </xf>
    <xf numFmtId="0" fontId="9" fillId="4" borderId="59" xfId="7" applyFont="1" applyFill="1" applyBorder="1" applyAlignment="1" applyProtection="1">
      <alignment horizontal="center" vertical="center"/>
    </xf>
    <xf numFmtId="0" fontId="9" fillId="13" borderId="28" xfId="0" applyFont="1" applyFill="1" applyBorder="1" applyAlignment="1" applyProtection="1">
      <alignment vertical="center"/>
    </xf>
    <xf numFmtId="0" fontId="9" fillId="4" borderId="7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2" fontId="9" fillId="4" borderId="23"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165" fontId="9" fillId="4" borderId="126" xfId="7" applyNumberFormat="1" applyFont="1" applyFill="1" applyBorder="1" applyAlignment="1" applyProtection="1">
      <alignment horizontal="center" vertical="center"/>
    </xf>
    <xf numFmtId="2" fontId="9" fillId="4" borderId="126" xfId="7" applyNumberFormat="1" applyFont="1" applyFill="1" applyBorder="1" applyAlignment="1" applyProtection="1">
      <alignment horizontal="center" vertical="center"/>
    </xf>
    <xf numFmtId="2" fontId="9" fillId="4" borderId="127" xfId="7" applyNumberFormat="1" applyFont="1" applyFill="1" applyBorder="1" applyAlignment="1" applyProtection="1">
      <alignment horizontal="center" vertical="center"/>
    </xf>
    <xf numFmtId="2" fontId="14" fillId="4" borderId="55" xfId="7" applyNumberFormat="1" applyFont="1" applyFill="1" applyBorder="1" applyAlignment="1" applyProtection="1">
      <alignment horizontal="center" vertical="center"/>
    </xf>
    <xf numFmtId="165" fontId="9" fillId="4" borderId="128" xfId="7" applyNumberFormat="1" applyFont="1" applyFill="1" applyBorder="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2" fontId="17" fillId="4" borderId="49" xfId="7" applyNumberFormat="1" applyFont="1" applyFill="1" applyBorder="1" applyAlignment="1" applyProtection="1">
      <alignment horizontal="center" vertical="center"/>
    </xf>
    <xf numFmtId="2" fontId="17" fillId="21" borderId="49" xfId="7" applyNumberFormat="1" applyFont="1" applyFill="1" applyBorder="1" applyAlignment="1" applyProtection="1">
      <alignment horizontal="center" vertical="center"/>
    </xf>
    <xf numFmtId="2" fontId="14" fillId="13" borderId="15" xfId="7" applyNumberFormat="1" applyFont="1" applyFill="1" applyBorder="1" applyAlignment="1" applyProtection="1">
      <alignment horizontal="center" vertical="center"/>
    </xf>
    <xf numFmtId="0" fontId="9" fillId="13" borderId="4" xfId="0" applyFont="1" applyFill="1" applyBorder="1" applyAlignment="1" applyProtection="1">
      <alignment vertical="center"/>
    </xf>
    <xf numFmtId="1" fontId="54" fillId="13" borderId="4" xfId="7" applyNumberFormat="1" applyFont="1" applyFill="1" applyBorder="1" applyAlignment="1" applyProtection="1">
      <alignment horizontal="center" vertical="center"/>
    </xf>
    <xf numFmtId="2" fontId="14" fillId="13" borderId="31" xfId="7" applyNumberFormat="1" applyFont="1" applyFill="1" applyBorder="1" applyAlignment="1" applyProtection="1">
      <alignment horizontal="center" vertical="center"/>
    </xf>
    <xf numFmtId="2" fontId="14" fillId="13" borderId="4" xfId="7" applyNumberFormat="1" applyFont="1" applyFill="1" applyBorder="1" applyAlignment="1" applyProtection="1">
      <alignment horizontal="center" vertical="center"/>
    </xf>
    <xf numFmtId="0" fontId="2" fillId="0" borderId="0" xfId="0" applyFont="1" applyAlignment="1">
      <alignment horizontal="left" vertical="top" wrapText="1"/>
    </xf>
    <xf numFmtId="0" fontId="4" fillId="0" borderId="0" xfId="0" applyFont="1" applyAlignment="1">
      <alignment horizontal="left" vertical="top" wrapText="1"/>
    </xf>
    <xf numFmtId="1" fontId="9" fillId="16" borderId="0" xfId="5" applyNumberFormat="1" applyFont="1" applyFill="1" applyBorder="1" applyAlignment="1">
      <alignment horizontal="center" vertical="center"/>
    </xf>
    <xf numFmtId="1" fontId="9" fillId="16" borderId="59" xfId="5" applyNumberFormat="1" applyFont="1" applyFill="1" applyBorder="1" applyAlignment="1">
      <alignment horizontal="center" vertical="center"/>
    </xf>
    <xf numFmtId="0" fontId="9" fillId="16" borderId="14" xfId="5" applyFont="1" applyFill="1" applyBorder="1" applyAlignment="1">
      <alignment horizontal="center" vertical="center"/>
    </xf>
    <xf numFmtId="0" fontId="9" fillId="16" borderId="13" xfId="5" applyFont="1" applyFill="1" applyBorder="1" applyAlignment="1">
      <alignment horizontal="center" vertical="center"/>
    </xf>
    <xf numFmtId="0" fontId="14" fillId="19" borderId="17" xfId="0" applyFont="1" applyFill="1" applyBorder="1" applyAlignment="1">
      <alignment horizontal="center" vertical="center" wrapText="1"/>
    </xf>
    <xf numFmtId="0" fontId="14" fillId="19" borderId="82" xfId="0" applyFont="1" applyFill="1" applyBorder="1" applyAlignment="1">
      <alignment horizontal="center" vertical="center" wrapText="1"/>
    </xf>
    <xf numFmtId="0" fontId="21" fillId="24" borderId="0" xfId="7" applyFont="1" applyFill="1" applyBorder="1" applyAlignment="1">
      <alignment horizontal="left" vertical="center" wrapText="1"/>
    </xf>
    <xf numFmtId="0" fontId="21" fillId="24" borderId="55" xfId="7" applyFont="1" applyFill="1" applyBorder="1" applyAlignment="1">
      <alignment horizontal="left" vertical="center" wrapText="1"/>
    </xf>
    <xf numFmtId="171" fontId="8" fillId="24" borderId="0" xfId="7" applyNumberFormat="1" applyFont="1" applyFill="1" applyBorder="1" applyAlignment="1">
      <alignment horizontal="center" vertical="top"/>
    </xf>
    <xf numFmtId="0" fontId="9" fillId="25" borderId="80" xfId="7" applyFont="1" applyFill="1" applyBorder="1" applyAlignment="1">
      <alignment horizontal="center" vertical="top" wrapText="1"/>
    </xf>
    <xf numFmtId="0" fontId="9" fillId="25" borderId="12" xfId="7" applyFont="1" applyFill="1" applyBorder="1" applyAlignment="1">
      <alignment horizontal="center" vertical="top" wrapText="1"/>
    </xf>
    <xf numFmtId="0" fontId="9" fillId="24" borderId="54" xfId="7" applyFont="1" applyFill="1" applyBorder="1" applyAlignment="1">
      <alignment horizontal="right" vertical="center"/>
    </xf>
    <xf numFmtId="0" fontId="9" fillId="24" borderId="0" xfId="7" applyFont="1" applyFill="1" applyBorder="1" applyAlignment="1">
      <alignment horizontal="right" vertical="center"/>
    </xf>
    <xf numFmtId="0" fontId="14" fillId="25" borderId="31" xfId="7" applyFont="1" applyFill="1" applyBorder="1" applyAlignment="1">
      <alignment horizontal="center"/>
    </xf>
    <xf numFmtId="0" fontId="14" fillId="25" borderId="4" xfId="7" applyFont="1" applyFill="1" applyBorder="1" applyAlignment="1">
      <alignment horizontal="center"/>
    </xf>
    <xf numFmtId="0" fontId="14" fillId="25" borderId="15" xfId="7" applyFont="1" applyFill="1" applyBorder="1" applyAlignment="1">
      <alignment horizontal="center"/>
    </xf>
    <xf numFmtId="0" fontId="9" fillId="13" borderId="31" xfId="7" applyFont="1" applyFill="1" applyBorder="1" applyAlignment="1">
      <alignment horizontal="center"/>
    </xf>
    <xf numFmtId="0" fontId="9" fillId="13" borderId="4" xfId="7" applyFont="1" applyFill="1" applyBorder="1" applyAlignment="1">
      <alignment horizontal="center"/>
    </xf>
    <xf numFmtId="0" fontId="9" fillId="13" borderId="15" xfId="7" applyFont="1" applyFill="1" applyBorder="1" applyAlignment="1">
      <alignment horizontal="center"/>
    </xf>
    <xf numFmtId="0" fontId="4" fillId="9" borderId="102" xfId="0" applyFont="1" applyFill="1" applyBorder="1" applyAlignment="1" applyProtection="1">
      <alignment horizontal="center" vertical="center"/>
      <protection hidden="1"/>
    </xf>
    <xf numFmtId="0" fontId="4" fillId="9" borderId="103" xfId="0" applyFont="1" applyFill="1" applyBorder="1" applyAlignment="1" applyProtection="1">
      <alignment horizontal="center" vertical="center"/>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9" borderId="3" xfId="0" applyFont="1" applyFill="1" applyBorder="1" applyAlignment="1" applyProtection="1">
      <alignment horizontal="left" vertical="center" wrapText="1" indent="2"/>
      <protection hidden="1"/>
    </xf>
    <xf numFmtId="0" fontId="14" fillId="9" borderId="0" xfId="0" applyFont="1" applyFill="1" applyBorder="1" applyAlignment="1" applyProtection="1">
      <alignment horizontal="left" vertical="center" wrapText="1" indent="2"/>
      <protection hidden="1"/>
    </xf>
    <xf numFmtId="0" fontId="14" fillId="16" borderId="22" xfId="0" applyFont="1" applyFill="1" applyBorder="1" applyAlignment="1" applyProtection="1">
      <alignment horizontal="center" vertical="center"/>
      <protection locked="0" hidden="1"/>
    </xf>
    <xf numFmtId="0" fontId="14" fillId="16" borderId="109" xfId="0" applyFont="1" applyFill="1" applyBorder="1" applyAlignment="1" applyProtection="1">
      <alignment horizontal="center" vertical="center"/>
      <protection locked="0" hidden="1"/>
    </xf>
    <xf numFmtId="0" fontId="9" fillId="9" borderId="0" xfId="0" applyFont="1" applyFill="1" applyBorder="1" applyAlignment="1" applyProtection="1">
      <alignment horizontal="left" vertical="center" wrapText="1" indent="1"/>
      <protection hidden="1"/>
    </xf>
    <xf numFmtId="0" fontId="14" fillId="13" borderId="105" xfId="0" applyFont="1" applyFill="1" applyBorder="1" applyAlignment="1" applyProtection="1">
      <alignment horizontal="center" vertical="top" wrapText="1"/>
      <protection hidden="1"/>
    </xf>
    <xf numFmtId="0" fontId="14" fillId="14" borderId="22" xfId="0" applyFont="1" applyFill="1" applyBorder="1" applyAlignment="1" applyProtection="1">
      <alignment horizontal="center" vertical="center"/>
      <protection locked="0" hidden="1"/>
    </xf>
    <xf numFmtId="0" fontId="14" fillId="14" borderId="109" xfId="0" applyFont="1" applyFill="1" applyBorder="1" applyAlignment="1" applyProtection="1">
      <alignment horizontal="center" vertical="center"/>
      <protection locked="0" hidden="1"/>
    </xf>
    <xf numFmtId="174" fontId="1" fillId="9" borderId="0" xfId="0" applyNumberFormat="1" applyFont="1" applyFill="1" applyBorder="1" applyAlignment="1" applyProtection="1">
      <alignment horizontal="center" vertical="center"/>
      <protection hidden="1"/>
    </xf>
    <xf numFmtId="0" fontId="9" fillId="9" borderId="70" xfId="0" applyFont="1" applyFill="1" applyBorder="1" applyAlignment="1" applyProtection="1">
      <alignment horizontal="left" vertical="top"/>
      <protection locked="0"/>
    </xf>
    <xf numFmtId="0" fontId="9" fillId="9" borderId="41" xfId="0" applyFont="1" applyFill="1" applyBorder="1" applyAlignment="1" applyProtection="1">
      <alignment horizontal="left" vertical="top"/>
      <protection locked="0"/>
    </xf>
    <xf numFmtId="0" fontId="14" fillId="9" borderId="28" xfId="0" applyFont="1" applyFill="1" applyBorder="1" applyAlignment="1" applyProtection="1">
      <alignment horizontal="left" vertical="top"/>
      <protection locked="0"/>
    </xf>
    <xf numFmtId="0" fontId="14" fillId="9" borderId="57" xfId="0" applyFont="1" applyFill="1" applyBorder="1" applyAlignment="1" applyProtection="1">
      <alignment horizontal="left" vertical="top"/>
      <protection locked="0"/>
    </xf>
    <xf numFmtId="0" fontId="14" fillId="9" borderId="70" xfId="0" applyFont="1" applyFill="1" applyBorder="1" applyAlignment="1" applyProtection="1">
      <alignment horizontal="right" vertical="center"/>
    </xf>
    <xf numFmtId="171" fontId="9" fillId="9" borderId="6" xfId="7" applyNumberFormat="1" applyFont="1" applyFill="1" applyBorder="1" applyAlignment="1" applyProtection="1">
      <alignment horizontal="left" vertical="center"/>
    </xf>
    <xf numFmtId="49" fontId="14" fillId="0" borderId="90" xfId="0" applyNumberFormat="1" applyFont="1" applyFill="1" applyBorder="1" applyAlignment="1" applyProtection="1">
      <alignment horizontal="center" vertical="center" wrapText="1"/>
    </xf>
    <xf numFmtId="49" fontId="14" fillId="0" borderId="91" xfId="0" applyNumberFormat="1" applyFont="1" applyFill="1" applyBorder="1" applyAlignment="1" applyProtection="1">
      <alignment horizontal="center" vertical="center" wrapText="1"/>
    </xf>
    <xf numFmtId="0" fontId="14" fillId="9" borderId="31"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72" xfId="0" applyFont="1" applyFill="1" applyBorder="1" applyAlignment="1" applyProtection="1">
      <alignment horizontal="right" vertical="center" wrapText="1"/>
    </xf>
    <xf numFmtId="0" fontId="14" fillId="9" borderId="42" xfId="0" applyFont="1" applyFill="1" applyBorder="1" applyAlignment="1" applyProtection="1">
      <alignment horizontal="right" vertical="center" wrapText="1"/>
    </xf>
    <xf numFmtId="49" fontId="14" fillId="0" borderId="87" xfId="0" applyNumberFormat="1" applyFont="1" applyFill="1" applyBorder="1" applyAlignment="1" applyProtection="1">
      <alignment horizontal="center" vertical="center" wrapText="1"/>
    </xf>
    <xf numFmtId="49" fontId="14" fillId="0" borderId="47" xfId="0" applyNumberFormat="1" applyFont="1" applyFill="1" applyBorder="1" applyAlignment="1" applyProtection="1">
      <alignment horizontal="center" vertical="center" wrapText="1"/>
    </xf>
    <xf numFmtId="49" fontId="14" fillId="0" borderId="88" xfId="0" applyNumberFormat="1" applyFont="1" applyFill="1" applyBorder="1" applyAlignment="1" applyProtection="1">
      <alignment horizontal="center" vertical="center" wrapText="1"/>
    </xf>
    <xf numFmtId="49" fontId="14" fillId="0" borderId="50" xfId="0" applyNumberFormat="1" applyFont="1" applyFill="1" applyBorder="1" applyAlignment="1" applyProtection="1">
      <alignment horizontal="center" vertical="center" wrapText="1"/>
    </xf>
    <xf numFmtId="49" fontId="14" fillId="0" borderId="89" xfId="0" applyNumberFormat="1" applyFont="1" applyFill="1" applyBorder="1" applyAlignment="1" applyProtection="1">
      <alignment horizontal="center" vertical="center" wrapText="1"/>
    </xf>
    <xf numFmtId="49" fontId="14" fillId="0" borderId="49" xfId="0" applyNumberFormat="1" applyFont="1" applyFill="1" applyBorder="1" applyAlignment="1" applyProtection="1">
      <alignment horizontal="center" vertical="center" wrapText="1"/>
    </xf>
    <xf numFmtId="0" fontId="9" fillId="21" borderId="31" xfId="7" applyFont="1" applyFill="1" applyBorder="1" applyAlignment="1" applyProtection="1">
      <alignment horizontal="center" vertical="center"/>
    </xf>
    <xf numFmtId="0" fontId="9" fillId="21" borderId="4" xfId="7" applyFont="1" applyFill="1" applyBorder="1" applyAlignment="1" applyProtection="1">
      <alignment horizontal="center" vertical="center"/>
    </xf>
    <xf numFmtId="0" fontId="9" fillId="21" borderId="15" xfId="7" applyFont="1" applyFill="1" applyBorder="1" applyAlignment="1" applyProtection="1">
      <alignment horizontal="center" vertical="center"/>
    </xf>
  </cellXfs>
  <cellStyles count="12">
    <cellStyle name="Hyperlink" xfId="11" builtinId="8"/>
    <cellStyle name="Komma" xfId="1" builtinId="3"/>
    <cellStyle name="Prozent" xfId="2" builtinId="5"/>
    <cellStyle name="Prozent 2" xfId="3"/>
    <cellStyle name="Standard" xfId="0" builtinId="0"/>
    <cellStyle name="Standard 2" xfId="10"/>
    <cellStyle name="Standard_BCS" xfId="4"/>
    <cellStyle name="Standard_Fumitab (2)" xfId="5"/>
    <cellStyle name="Standard_KF_Milch" xfId="6"/>
    <cellStyle name="Standard_Ration Milch (2)" xfId="7"/>
    <cellStyle name="Standard_Ration Milch (2)_1" xfId="8"/>
    <cellStyle name="Standard_Ration Milch (3)" xfId="9"/>
  </cellStyles>
  <dxfs count="72">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ill>
        <patternFill>
          <bgColor rgb="FF92D050"/>
        </patternFill>
      </fill>
    </dxf>
    <dxf>
      <fill>
        <patternFill>
          <bgColor rgb="FF92D050"/>
        </patternFill>
      </fill>
    </dxf>
    <dxf>
      <font>
        <color theme="1"/>
      </font>
    </dxf>
    <dxf>
      <font>
        <color rgb="FFFF0000"/>
      </font>
      <fill>
        <patternFill patternType="solid">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theme="1"/>
      </font>
    </dxf>
    <dxf>
      <font>
        <color rgb="FF9C0006"/>
      </font>
      <fill>
        <patternFill>
          <bgColor rgb="FFFF0000"/>
        </patternFill>
      </fill>
    </dxf>
    <dxf>
      <font>
        <color theme="1"/>
      </font>
    </dxf>
    <dxf>
      <fill>
        <patternFill>
          <bgColor rgb="FFFFC000"/>
        </patternFill>
      </fill>
    </dxf>
    <dxf>
      <fill>
        <patternFill>
          <bgColor rgb="FFFFC000"/>
        </patternFill>
      </fill>
    </dxf>
    <dxf>
      <fill>
        <patternFill>
          <bgColor rgb="FFFFC000"/>
        </patternFill>
      </fill>
    </dxf>
    <dxf>
      <font>
        <b/>
        <i val="0"/>
        <strike val="0"/>
        <color rgb="FFFFFF00"/>
      </font>
      <fill>
        <patternFill>
          <bgColor rgb="FFFF0000"/>
        </patternFill>
      </fill>
    </dxf>
    <dxf>
      <fill>
        <patternFill>
          <bgColor rgb="FFFFC000"/>
        </patternFill>
      </fill>
    </dxf>
    <dxf>
      <fill>
        <patternFill>
          <bgColor rgb="FFE6E6E6"/>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condense val="0"/>
        <extend val="0"/>
        <color indexed="22"/>
      </font>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tableStyleElement type="wholeTable" dxfId="71"/>
      <tableStyleElement type="headerRow" dxfId="70"/>
      <tableStyleElement type="firstColumn" dxfId="69"/>
      <tableStyleElement type="firstColumnStripe" dxfId="68"/>
      <tableStyleElement type="secondColumnStripe" dxfId="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6E6E6"/>
      <color rgb="FF33CC33"/>
      <color rgb="FFFFFFDD"/>
      <color rgb="FF2AFFF0"/>
      <color rgb="FFD9D9D9"/>
      <color rgb="FFFFFFCC"/>
      <color rgb="FF0000CC"/>
      <color rgb="FFFFFFE0"/>
      <color rgb="FFF9F9E7"/>
      <color rgb="FFFFFF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'Zuteilung-Milchleistungsfutter'!$H$21:$H$49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dLbls>
          <c:showLegendKey val="0"/>
          <c:showVal val="0"/>
          <c:showCatName val="0"/>
          <c:showSerName val="0"/>
          <c:showPercent val="0"/>
          <c:showBubbleSize val="0"/>
        </c:dLbls>
        <c:axId val="100885248"/>
        <c:axId val="180152576"/>
      </c:areaChart>
      <c:catAx>
        <c:axId val="10088524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en-US"/>
          </a:p>
        </c:txPr>
        <c:crossAx val="180152576"/>
        <c:crosses val="autoZero"/>
        <c:auto val="1"/>
        <c:lblAlgn val="ctr"/>
        <c:lblOffset val="100"/>
        <c:tickLblSkip val="3"/>
        <c:tickMarkSkip val="3"/>
        <c:noMultiLvlLbl val="0"/>
      </c:catAx>
      <c:valAx>
        <c:axId val="180152576"/>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00885248"/>
        <c:crosses val="autoZero"/>
        <c:crossBetween val="midCat"/>
      </c:valAx>
    </c:plotArea>
    <c:plotVisOnly val="1"/>
    <c:dispBlanksAs val="gap"/>
    <c:showDLblsOverMax val="0"/>
  </c:chart>
  <c:txPr>
    <a:bodyPr/>
    <a:lstStyle/>
    <a:p>
      <a:pPr>
        <a:defRPr sz="900"/>
      </a:pPr>
      <a:endParaRPr lang="en-US"/>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en-US"/>
                </a:p>
              </c:txPr>
            </c:trendlineLbl>
          </c:trendline>
          <c:xVal>
            <c:numRef>
              <c:f>'Ration Aufzucht-Mast'!$AT$62:$AY$62</c:f>
            </c:numRef>
          </c:xVal>
          <c:yVal>
            <c:numRef>
              <c:f>'Ration Aufzucht-Mast'!$AT$73:$AY$73</c:f>
            </c:numRef>
          </c:yVal>
          <c:smooth val="0"/>
        </c:ser>
        <c:dLbls>
          <c:showLegendKey val="0"/>
          <c:showVal val="0"/>
          <c:showCatName val="0"/>
          <c:showSerName val="0"/>
          <c:showPercent val="0"/>
          <c:showBubbleSize val="0"/>
        </c:dLbls>
        <c:axId val="198693248"/>
        <c:axId val="198694784"/>
      </c:scatterChart>
      <c:valAx>
        <c:axId val="198693248"/>
        <c:scaling>
          <c:orientation val="minMax"/>
        </c:scaling>
        <c:delete val="0"/>
        <c:axPos val="b"/>
        <c:numFmt formatCode="General" sourceLinked="1"/>
        <c:majorTickMark val="out"/>
        <c:minorTickMark val="none"/>
        <c:tickLblPos val="nextTo"/>
        <c:crossAx val="198694784"/>
        <c:crosses val="autoZero"/>
        <c:crossBetween val="midCat"/>
      </c:valAx>
      <c:valAx>
        <c:axId val="198694784"/>
        <c:scaling>
          <c:orientation val="minMax"/>
        </c:scaling>
        <c:delete val="0"/>
        <c:axPos val="l"/>
        <c:majorGridlines/>
        <c:numFmt formatCode="General" sourceLinked="1"/>
        <c:majorTickMark val="out"/>
        <c:minorTickMark val="none"/>
        <c:tickLblPos val="nextTo"/>
        <c:crossAx val="1986932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en-US"/>
                </a:p>
              </c:txPr>
            </c:trendlineLbl>
          </c:trendline>
          <c:xVal>
            <c:numRef>
              <c:f>'Ration Aufzucht-Mast'!$AT$76:$AY$76</c:f>
            </c:numRef>
          </c:xVal>
          <c:yVal>
            <c:numRef>
              <c:f>'Ration Aufzucht-Mast'!$AT$87:$AY$87</c:f>
            </c:numRef>
          </c:yVal>
          <c:smooth val="0"/>
        </c:ser>
        <c:dLbls>
          <c:showLegendKey val="0"/>
          <c:showVal val="0"/>
          <c:showCatName val="0"/>
          <c:showSerName val="0"/>
          <c:showPercent val="0"/>
          <c:showBubbleSize val="0"/>
        </c:dLbls>
        <c:axId val="219703936"/>
        <c:axId val="219705728"/>
      </c:scatterChart>
      <c:valAx>
        <c:axId val="219703936"/>
        <c:scaling>
          <c:orientation val="minMax"/>
        </c:scaling>
        <c:delete val="0"/>
        <c:axPos val="b"/>
        <c:numFmt formatCode="General" sourceLinked="1"/>
        <c:majorTickMark val="out"/>
        <c:minorTickMark val="none"/>
        <c:tickLblPos val="nextTo"/>
        <c:crossAx val="219705728"/>
        <c:crosses val="autoZero"/>
        <c:crossBetween val="midCat"/>
      </c:valAx>
      <c:valAx>
        <c:axId val="219705728"/>
        <c:scaling>
          <c:orientation val="minMax"/>
        </c:scaling>
        <c:delete val="0"/>
        <c:axPos val="l"/>
        <c:majorGridlines/>
        <c:numFmt formatCode="General" sourceLinked="1"/>
        <c:majorTickMark val="out"/>
        <c:minorTickMark val="none"/>
        <c:tickLblPos val="nextTo"/>
        <c:crossAx val="21970393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en-US"/>
                </a:p>
              </c:txPr>
            </c:trendlineLbl>
          </c:trendline>
          <c:xVal>
            <c:numRef>
              <c:f>'Ration Aufzucht-Mast'!$AT$89:$AY$89</c:f>
            </c:numRef>
          </c:xVal>
          <c:yVal>
            <c:numRef>
              <c:f>'Ration Aufzucht-Mast'!$AT$100:$AY$100</c:f>
            </c:numRef>
          </c:yVal>
          <c:smooth val="0"/>
        </c:ser>
        <c:dLbls>
          <c:showLegendKey val="0"/>
          <c:showVal val="0"/>
          <c:showCatName val="0"/>
          <c:showSerName val="0"/>
          <c:showPercent val="0"/>
          <c:showBubbleSize val="0"/>
        </c:dLbls>
        <c:axId val="219731072"/>
        <c:axId val="219732608"/>
      </c:scatterChart>
      <c:valAx>
        <c:axId val="219731072"/>
        <c:scaling>
          <c:orientation val="minMax"/>
        </c:scaling>
        <c:delete val="0"/>
        <c:axPos val="b"/>
        <c:numFmt formatCode="General" sourceLinked="1"/>
        <c:majorTickMark val="out"/>
        <c:minorTickMark val="none"/>
        <c:tickLblPos val="nextTo"/>
        <c:crossAx val="219732608"/>
        <c:crosses val="autoZero"/>
        <c:crossBetween val="midCat"/>
      </c:valAx>
      <c:valAx>
        <c:axId val="219732608"/>
        <c:scaling>
          <c:orientation val="minMax"/>
        </c:scaling>
        <c:delete val="0"/>
        <c:axPos val="l"/>
        <c:majorGridlines/>
        <c:numFmt formatCode="General" sourceLinked="1"/>
        <c:majorTickMark val="out"/>
        <c:minorTickMark val="none"/>
        <c:tickLblPos val="nextTo"/>
        <c:crossAx val="2197310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0"/>
          <c:order val="0"/>
          <c:tx>
            <c:strRef>
              <c:f>'Zuteilung-Milchleistungsfutter'!$AF$20</c:f>
              <c:strCache>
                <c:ptCount val="1"/>
                <c:pt idx="0">
                  <c:v>KF-Effizienz</c:v>
                </c:pt>
              </c:strCache>
            </c:strRef>
          </c:tx>
          <c:spPr>
            <a:solidFill>
              <a:srgbClr val="FFFF00"/>
            </a:solidFill>
            <a:ln w="28575">
              <a:noFill/>
            </a:ln>
          </c:spPr>
          <c:cat>
            <c:numRef>
              <c:f>'Zuteilung-Milchleistungsfutter'!$A$21:$A$49</c:f>
              <c:numCache>
                <c:formatCode>0\ "kg"</c:formatCode>
                <c:ptCount val="29"/>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dLbls>
          <c:showLegendKey val="0"/>
          <c:showVal val="0"/>
          <c:showCatName val="0"/>
          <c:showSerName val="0"/>
          <c:showPercent val="0"/>
          <c:showBubbleSize val="0"/>
        </c:dLbls>
        <c:axId val="189313024"/>
        <c:axId val="189314944"/>
      </c:areaChart>
      <c:catAx>
        <c:axId val="189313024"/>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en-US"/>
          </a:p>
        </c:txPr>
        <c:crossAx val="189314944"/>
        <c:crosses val="autoZero"/>
        <c:auto val="1"/>
        <c:lblAlgn val="ctr"/>
        <c:lblOffset val="100"/>
        <c:tickLblSkip val="3"/>
        <c:tickMarkSkip val="3"/>
        <c:noMultiLvlLbl val="0"/>
      </c:catAx>
      <c:valAx>
        <c:axId val="189314944"/>
        <c:scaling>
          <c:orientation val="minMax"/>
        </c:scaling>
        <c:delete val="0"/>
        <c:axPos val="l"/>
        <c:majorGridlines/>
        <c:title>
          <c:tx>
            <c:rich>
              <a:bodyPr rot="-5400000" vert="horz"/>
              <a:lstStyle/>
              <a:p>
                <a:pPr>
                  <a:defRPr sz="900"/>
                </a:pPr>
                <a:r>
                  <a:rPr lang="en-US" sz="900"/>
                  <a:t>Kraftfuttereffizienz</a:t>
                </a:r>
              </a:p>
            </c:rich>
          </c:tx>
          <c:overlay val="0"/>
        </c:title>
        <c:numFmt formatCode="0\ &quot;g/kg ECM&quot;" sourceLinked="0"/>
        <c:majorTickMark val="out"/>
        <c:minorTickMark val="none"/>
        <c:tickLblPos val="nextTo"/>
        <c:crossAx val="189313024"/>
        <c:crosses val="autoZero"/>
        <c:crossBetween val="midCat"/>
      </c:valAx>
    </c:plotArea>
    <c:plotVisOnly val="1"/>
    <c:dispBlanksAs val="gap"/>
    <c:showDLblsOverMax val="0"/>
  </c:chart>
  <c:txPr>
    <a:bodyPr/>
    <a:lstStyle/>
    <a:p>
      <a:pPr>
        <a:defRPr sz="800"/>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en-US"/>
                </a:p>
              </c:txPr>
            </c:trendlineLbl>
          </c:trendline>
          <c:xVal>
            <c:numRef>
              <c:f>'Ration Aufzucht-Mast'!$AK$8:$AK$17</c:f>
            </c:numRef>
          </c:xVal>
          <c:yVal>
            <c:numRef>
              <c:f>'Ration Aufzucht-Mast'!$BA$8:$BA$17</c:f>
            </c:numRef>
          </c:yVal>
          <c:smooth val="0"/>
        </c:ser>
        <c:dLbls>
          <c:showLegendKey val="0"/>
          <c:showVal val="0"/>
          <c:showCatName val="0"/>
          <c:showSerName val="0"/>
          <c:showPercent val="0"/>
          <c:showBubbleSize val="0"/>
        </c:dLbls>
        <c:axId val="189893248"/>
        <c:axId val="193524096"/>
      </c:scatterChart>
      <c:valAx>
        <c:axId val="189893248"/>
        <c:scaling>
          <c:orientation val="minMax"/>
        </c:scaling>
        <c:delete val="0"/>
        <c:axPos val="b"/>
        <c:numFmt formatCode="0.0" sourceLinked="1"/>
        <c:majorTickMark val="out"/>
        <c:minorTickMark val="none"/>
        <c:tickLblPos val="nextTo"/>
        <c:crossAx val="193524096"/>
        <c:crosses val="autoZero"/>
        <c:crossBetween val="midCat"/>
      </c:valAx>
      <c:valAx>
        <c:axId val="193524096"/>
        <c:scaling>
          <c:orientation val="minMax"/>
        </c:scaling>
        <c:delete val="0"/>
        <c:axPos val="l"/>
        <c:majorGridlines/>
        <c:numFmt formatCode="0.0" sourceLinked="1"/>
        <c:majorTickMark val="out"/>
        <c:minorTickMark val="none"/>
        <c:tickLblPos val="nextTo"/>
        <c:crossAx val="1898932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en-US"/>
                </a:p>
              </c:txPr>
            </c:trendlineLbl>
          </c:trendline>
          <c:xVal>
            <c:numRef>
              <c:f>'Ration Aufzucht-Mast'!#REF!</c:f>
            </c:numRef>
          </c:xVal>
          <c:yVal>
            <c:numRef>
              <c:f>'Ration Aufzucht-Mast'!#REF!</c:f>
              <c:numCache>
                <c:formatCode>General</c:formatCode>
                <c:ptCount val="1"/>
                <c:pt idx="0">
                  <c:v>1</c:v>
                </c:pt>
              </c:numCache>
            </c:numRef>
          </c:yVal>
          <c:smooth val="0"/>
        </c:ser>
        <c:dLbls>
          <c:showLegendKey val="0"/>
          <c:showVal val="0"/>
          <c:showCatName val="0"/>
          <c:showSerName val="0"/>
          <c:showPercent val="0"/>
          <c:showBubbleSize val="0"/>
        </c:dLbls>
        <c:axId val="190283136"/>
        <c:axId val="190301312"/>
      </c:scatterChart>
      <c:valAx>
        <c:axId val="190283136"/>
        <c:scaling>
          <c:orientation val="minMax"/>
        </c:scaling>
        <c:delete val="0"/>
        <c:axPos val="b"/>
        <c:numFmt formatCode="0.0" sourceLinked="1"/>
        <c:majorTickMark val="out"/>
        <c:minorTickMark val="none"/>
        <c:tickLblPos val="nextTo"/>
        <c:crossAx val="190301312"/>
        <c:crosses val="autoZero"/>
        <c:crossBetween val="midCat"/>
      </c:valAx>
      <c:valAx>
        <c:axId val="190301312"/>
        <c:scaling>
          <c:orientation val="minMax"/>
        </c:scaling>
        <c:delete val="0"/>
        <c:axPos val="l"/>
        <c:majorGridlines/>
        <c:numFmt formatCode="General" sourceLinked="1"/>
        <c:majorTickMark val="out"/>
        <c:minorTickMark val="none"/>
        <c:tickLblPos val="nextTo"/>
        <c:crossAx val="19028313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ser>
        <c:ser>
          <c:idx val="7"/>
          <c:order val="1"/>
          <c:tx>
            <c:strRef>
              <c:f>'Ration Aufzucht-Mast'!#REF!</c:f>
              <c:strCache>
                <c:ptCount val="1"/>
                <c:pt idx="0">
                  <c:v>#REF!</c:v>
                </c:pt>
              </c:strCache>
            </c:strRef>
          </c:tx>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en-US"/>
                </a:p>
              </c:txPr>
            </c:trendlineLbl>
          </c:trendline>
          <c:xVal>
            <c:numRef>
              <c:f>'Ration Aufzucht-Mast'!#REF!</c:f>
            </c:numRef>
          </c:xVal>
          <c:yVal>
            <c:numRef>
              <c:f>'Ration Aufzucht-Mast'!#REF!</c:f>
              <c:numCache>
                <c:formatCode>General</c:formatCode>
                <c:ptCount val="1"/>
                <c:pt idx="0">
                  <c:v>1</c:v>
                </c:pt>
              </c:numCache>
            </c:numRef>
          </c:yVal>
          <c:smooth val="0"/>
        </c:ser>
        <c:dLbls>
          <c:showLegendKey val="0"/>
          <c:showVal val="0"/>
          <c:showCatName val="0"/>
          <c:showSerName val="0"/>
          <c:showPercent val="0"/>
          <c:showBubbleSize val="0"/>
        </c:dLbls>
        <c:axId val="190311424"/>
        <c:axId val="193790720"/>
      </c:scatterChart>
      <c:valAx>
        <c:axId val="190311424"/>
        <c:scaling>
          <c:orientation val="minMax"/>
        </c:scaling>
        <c:delete val="0"/>
        <c:axPos val="b"/>
        <c:numFmt formatCode="0.0" sourceLinked="1"/>
        <c:majorTickMark val="out"/>
        <c:minorTickMark val="none"/>
        <c:tickLblPos val="nextTo"/>
        <c:crossAx val="193790720"/>
        <c:crosses val="autoZero"/>
        <c:crossBetween val="midCat"/>
      </c:valAx>
      <c:valAx>
        <c:axId val="193790720"/>
        <c:scaling>
          <c:orientation val="minMax"/>
        </c:scaling>
        <c:delete val="0"/>
        <c:axPos val="l"/>
        <c:majorGridlines/>
        <c:numFmt formatCode="General" sourceLinked="1"/>
        <c:majorTickMark val="out"/>
        <c:minorTickMark val="none"/>
        <c:tickLblPos val="nextTo"/>
        <c:crossAx val="190311424"/>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xVal>
            <c:numRef>
              <c:f>'Ration Aufzucht-Mast'!$AL$30:$AL$30</c:f>
            </c:numRef>
          </c:xVal>
          <c:yVal>
            <c:numRef>
              <c:f>'Ration Aufzucht-Mast'!$AM$30:$AM$30</c:f>
            </c:numRef>
          </c:yVal>
          <c:smooth val="0"/>
        </c:ser>
        <c:ser>
          <c:idx val="1"/>
          <c:order val="1"/>
          <c:tx>
            <c:strRef>
              <c:f>'Ration Aufzucht-Mast'!#REF!</c:f>
              <c:strCache>
                <c:ptCount val="1"/>
                <c:pt idx="0">
                  <c:v>#REF!</c:v>
                </c:pt>
              </c:strCache>
            </c:strRef>
          </c:tx>
          <c:spPr>
            <a:ln w="28575">
              <a:noFill/>
            </a:ln>
          </c:spPr>
          <c:xVal>
            <c:numRef>
              <c:f>'Ration Aufzucht-Mast'!$AL$30:$AL$30</c:f>
            </c:numRef>
          </c:xVal>
          <c:yVal>
            <c:numRef>
              <c:f>'Ration Aufzucht-Mast'!$AN$30:$AN$30</c:f>
            </c:numRef>
          </c:yVal>
          <c:smooth val="0"/>
        </c:ser>
        <c:ser>
          <c:idx val="2"/>
          <c:order val="2"/>
          <c:tx>
            <c:strRef>
              <c:f>'Ration Aufzucht-Mast'!#REF!</c:f>
              <c:strCache>
                <c:ptCount val="1"/>
                <c:pt idx="0">
                  <c:v>#REF!</c:v>
                </c:pt>
              </c:strCache>
            </c:strRef>
          </c:tx>
          <c:spPr>
            <a:ln w="28575">
              <a:noFill/>
            </a:ln>
          </c:spPr>
          <c:xVal>
            <c:numRef>
              <c:f>'Ration Aufzucht-Mast'!$AL$30:$AL$30</c:f>
            </c:numRef>
          </c:xVal>
          <c:yVal>
            <c:numRef>
              <c:f>'Ration Aufzucht-Mast'!$AO$30:$AO$30</c:f>
            </c:numRef>
          </c:yVal>
          <c:smooth val="0"/>
        </c:ser>
        <c:ser>
          <c:idx val="3"/>
          <c:order val="3"/>
          <c:tx>
            <c:strRef>
              <c:f>'Ration Aufzucht-Mast'!#REF!</c:f>
              <c:strCache>
                <c:ptCount val="1"/>
                <c:pt idx="0">
                  <c:v>#REF!</c:v>
                </c:pt>
              </c:strCache>
            </c:strRef>
          </c:tx>
          <c:spPr>
            <a:ln w="28575">
              <a:noFill/>
            </a:ln>
          </c:spPr>
          <c:xVal>
            <c:numRef>
              <c:f>'Ration Aufzucht-Mast'!$AL$30:$AL$30</c:f>
            </c:numRef>
          </c:xVal>
          <c:yVal>
            <c:numRef>
              <c:f>'Ration Aufzucht-Mast'!$AP$30:$AP$30</c:f>
            </c:numRef>
          </c:yVal>
          <c:smooth val="0"/>
        </c:ser>
        <c:ser>
          <c:idx val="4"/>
          <c:order val="4"/>
          <c:tx>
            <c:strRef>
              <c:f>'Ration Aufzucht-Mast'!#REF!</c:f>
              <c:strCache>
                <c:ptCount val="1"/>
                <c:pt idx="0">
                  <c:v>#REF!</c:v>
                </c:pt>
              </c:strCache>
            </c:strRef>
          </c:tx>
          <c:spPr>
            <a:ln w="28575">
              <a:noFill/>
            </a:ln>
          </c:spPr>
          <c:xVal>
            <c:numRef>
              <c:f>'Ration Aufzucht-Mast'!$AL$30:$AL$30</c:f>
            </c:numRef>
          </c:xVal>
          <c:yVal>
            <c:numRef>
              <c:f>'Ration Aufzucht-Mast'!$AQ$30:$AQ$30</c:f>
            </c:numRef>
          </c:yVal>
          <c:smooth val="0"/>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en-US"/>
                </a:p>
              </c:txPr>
            </c:trendlineLbl>
          </c:trendline>
          <c:xVal>
            <c:numRef>
              <c:f>'Ration Aufzucht-Mast'!$AL$30:$AL$30</c:f>
            </c:numRef>
          </c:xVal>
          <c:yVal>
            <c:numRef>
              <c:f>'Ration Aufzucht-Mast'!$AR$30:$AR$30</c:f>
            </c:numRef>
          </c:yVal>
          <c:smooth val="0"/>
        </c:ser>
        <c:ser>
          <c:idx val="6"/>
          <c:order val="6"/>
          <c:tx>
            <c:strRef>
              <c:f>'Ration Aufzucht-Mast'!#REF!</c:f>
              <c:strCache>
                <c:ptCount val="1"/>
                <c:pt idx="0">
                  <c:v>#REF!</c:v>
                </c:pt>
              </c:strCache>
            </c:strRef>
          </c:tx>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ser>
        <c:dLbls>
          <c:showLegendKey val="0"/>
          <c:showVal val="0"/>
          <c:showCatName val="0"/>
          <c:showSerName val="0"/>
          <c:showPercent val="0"/>
          <c:showBubbleSize val="0"/>
        </c:dLbls>
        <c:axId val="198515712"/>
        <c:axId val="198521600"/>
      </c:scatterChart>
      <c:valAx>
        <c:axId val="198515712"/>
        <c:scaling>
          <c:orientation val="minMax"/>
        </c:scaling>
        <c:delete val="0"/>
        <c:axPos val="b"/>
        <c:numFmt formatCode="General" sourceLinked="1"/>
        <c:majorTickMark val="out"/>
        <c:minorTickMark val="none"/>
        <c:tickLblPos val="nextTo"/>
        <c:crossAx val="198521600"/>
        <c:crosses val="autoZero"/>
        <c:crossBetween val="midCat"/>
      </c:valAx>
      <c:valAx>
        <c:axId val="198521600"/>
        <c:scaling>
          <c:orientation val="minMax"/>
          <c:min val="0"/>
        </c:scaling>
        <c:delete val="0"/>
        <c:axPos val="l"/>
        <c:majorGridlines/>
        <c:numFmt formatCode="0.0" sourceLinked="1"/>
        <c:majorTickMark val="out"/>
        <c:minorTickMark val="none"/>
        <c:tickLblPos val="nextTo"/>
        <c:crossAx val="198515712"/>
        <c:crosses val="autoZero"/>
        <c:crossBetween val="midCat"/>
      </c:valAx>
    </c:plotArea>
    <c:legend>
      <c:legendPos val="r"/>
      <c:legendEntry>
        <c:idx val="0"/>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tx>
            <c:strRef>
              <c:f>'Ration Aufzucht-Mast'!#REF!</c:f>
              <c:strCache>
                <c:ptCount val="1"/>
                <c:pt idx="0">
                  <c:v>#REF!</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1"/>
          <c:order val="1"/>
          <c:tx>
            <c:strRef>
              <c:f>'Ration Aufzucht-Mast'!#REF!</c:f>
              <c:strCache>
                <c:ptCount val="1"/>
                <c:pt idx="0">
                  <c:v>#REF!</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2"/>
          <c:order val="2"/>
          <c:tx>
            <c:strRef>
              <c:f>'Ration Aufzucht-Mast'!#REF!</c:f>
              <c:strCache>
                <c:ptCount val="1"/>
                <c:pt idx="0">
                  <c:v>#REF!</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3"/>
          <c:order val="3"/>
          <c:tx>
            <c:strRef>
              <c:f>'Ration Aufzucht-Mast'!#REF!</c:f>
              <c:strCache>
                <c:ptCount val="1"/>
                <c:pt idx="0">
                  <c:v>#REF!</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4"/>
          <c:order val="4"/>
          <c:tx>
            <c:strRef>
              <c:f>'Ration Aufzucht-Mast'!#REF!</c:f>
              <c:strCache>
                <c:ptCount val="1"/>
                <c:pt idx="0">
                  <c:v>#REF!</c:v>
                </c:pt>
              </c:strCache>
            </c:strRef>
          </c:tx>
          <c:spPr>
            <a:ln w="28575">
              <a:noFill/>
            </a:ln>
          </c:spPr>
          <c:xVal>
            <c:numRef>
              <c:f>'Ration Aufzucht-Mast'!#REF!</c:f>
            </c:numRef>
          </c:xVal>
          <c:yVal>
            <c:numRef>
              <c:f>'Ration Aufzucht-Mast'!#REF!</c:f>
              <c:numCache>
                <c:formatCode>General</c:formatCode>
                <c:ptCount val="1"/>
                <c:pt idx="0">
                  <c:v>1</c:v>
                </c:pt>
              </c:numCache>
            </c:numRef>
          </c:yVal>
          <c:smooth val="0"/>
        </c:ser>
        <c:ser>
          <c:idx val="5"/>
          <c:order val="5"/>
          <c:tx>
            <c:strRef>
              <c:f>'Ration Aufzucht-Mast'!#REF!</c:f>
              <c:strCache>
                <c:ptCount val="1"/>
                <c:pt idx="0">
                  <c:v>#REF!</c:v>
                </c:pt>
              </c:strCache>
            </c:strRef>
          </c:tx>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en-US"/>
                </a:p>
              </c:txPr>
            </c:trendlineLbl>
          </c:trendline>
          <c:xVal>
            <c:numRef>
              <c:f>'Ration Aufzucht-Mast'!#REF!</c:f>
            </c:numRef>
          </c:xVal>
          <c:yVal>
            <c:numRef>
              <c:f>'Ration Aufzucht-Mast'!#REF!</c:f>
              <c:numCache>
                <c:formatCode>General</c:formatCode>
                <c:ptCount val="1"/>
                <c:pt idx="0">
                  <c:v>1</c:v>
                </c:pt>
              </c:numCache>
            </c:numRef>
          </c:yVal>
          <c:smooth val="0"/>
        </c:ser>
        <c:dLbls>
          <c:showLegendKey val="0"/>
          <c:showVal val="0"/>
          <c:showCatName val="0"/>
          <c:showSerName val="0"/>
          <c:showPercent val="0"/>
          <c:showBubbleSize val="0"/>
        </c:dLbls>
        <c:axId val="198563328"/>
        <c:axId val="198564864"/>
      </c:scatterChart>
      <c:valAx>
        <c:axId val="198563328"/>
        <c:scaling>
          <c:orientation val="minMax"/>
        </c:scaling>
        <c:delete val="0"/>
        <c:axPos val="b"/>
        <c:numFmt formatCode="General" sourceLinked="1"/>
        <c:majorTickMark val="out"/>
        <c:minorTickMark val="none"/>
        <c:tickLblPos val="nextTo"/>
        <c:crossAx val="198564864"/>
        <c:crosses val="autoZero"/>
        <c:crossBetween val="midCat"/>
      </c:valAx>
      <c:valAx>
        <c:axId val="198564864"/>
        <c:scaling>
          <c:orientation val="minMax"/>
          <c:min val="0"/>
        </c:scaling>
        <c:delete val="0"/>
        <c:axPos val="l"/>
        <c:majorGridlines/>
        <c:numFmt formatCode="General" sourceLinked="1"/>
        <c:majorTickMark val="out"/>
        <c:minorTickMark val="none"/>
        <c:tickLblPos val="nextTo"/>
        <c:crossAx val="198563328"/>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en-US"/>
                </a:p>
              </c:txPr>
            </c:trendlineLbl>
          </c:trendline>
          <c:xVal>
            <c:numRef>
              <c:f>'Ration Aufzucht-Mast'!$AK$35:$AK$43</c:f>
            </c:numRef>
          </c:xVal>
          <c:yVal>
            <c:numRef>
              <c:f>'Ration Aufzucht-Mast'!$AQ$35:$AQ$43</c:f>
            </c:numRef>
          </c:yVal>
          <c:smooth val="0"/>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ser>
        <c:dLbls>
          <c:showLegendKey val="0"/>
          <c:showVal val="0"/>
          <c:showCatName val="0"/>
          <c:showSerName val="0"/>
          <c:showPercent val="0"/>
          <c:showBubbleSize val="0"/>
        </c:dLbls>
        <c:axId val="198628864"/>
        <c:axId val="198630400"/>
      </c:scatterChart>
      <c:valAx>
        <c:axId val="198628864"/>
        <c:scaling>
          <c:orientation val="minMax"/>
        </c:scaling>
        <c:delete val="0"/>
        <c:axPos val="b"/>
        <c:numFmt formatCode="0.0" sourceLinked="1"/>
        <c:majorTickMark val="out"/>
        <c:minorTickMark val="none"/>
        <c:tickLblPos val="nextTo"/>
        <c:crossAx val="198630400"/>
        <c:crosses val="autoZero"/>
        <c:crossBetween val="midCat"/>
      </c:valAx>
      <c:valAx>
        <c:axId val="198630400"/>
        <c:scaling>
          <c:orientation val="minMax"/>
        </c:scaling>
        <c:delete val="0"/>
        <c:axPos val="l"/>
        <c:majorGridlines/>
        <c:numFmt formatCode="0.0" sourceLinked="1"/>
        <c:majorTickMark val="out"/>
        <c:minorTickMark val="none"/>
        <c:tickLblPos val="nextTo"/>
        <c:crossAx val="198628864"/>
        <c:crosses val="autoZero"/>
        <c:crossBetween val="midCat"/>
      </c:valAx>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en-US"/>
                </a:p>
              </c:txPr>
            </c:trendlineLbl>
          </c:trendline>
          <c:xVal>
            <c:numRef>
              <c:f>'Ration Aufzucht-Mast'!$AT$47:$AY$47</c:f>
            </c:numRef>
          </c:xVal>
          <c:yVal>
            <c:numRef>
              <c:f>'Ration Aufzucht-Mast'!$AT$58:$AY$58</c:f>
            </c:numRef>
          </c:yVal>
          <c:smooth val="0"/>
        </c:ser>
        <c:dLbls>
          <c:showLegendKey val="0"/>
          <c:showVal val="0"/>
          <c:showCatName val="0"/>
          <c:showSerName val="0"/>
          <c:showPercent val="0"/>
          <c:showBubbleSize val="0"/>
        </c:dLbls>
        <c:axId val="198654208"/>
        <c:axId val="198664192"/>
      </c:scatterChart>
      <c:valAx>
        <c:axId val="198654208"/>
        <c:scaling>
          <c:orientation val="minMax"/>
        </c:scaling>
        <c:delete val="0"/>
        <c:axPos val="b"/>
        <c:numFmt formatCode="General" sourceLinked="1"/>
        <c:majorTickMark val="out"/>
        <c:minorTickMark val="none"/>
        <c:tickLblPos val="nextTo"/>
        <c:crossAx val="198664192"/>
        <c:crosses val="autoZero"/>
        <c:crossBetween val="midCat"/>
      </c:valAx>
      <c:valAx>
        <c:axId val="198664192"/>
        <c:scaling>
          <c:orientation val="minMax"/>
        </c:scaling>
        <c:delete val="0"/>
        <c:axPos val="l"/>
        <c:majorGridlines/>
        <c:numFmt formatCode="General" sourceLinked="1"/>
        <c:majorTickMark val="out"/>
        <c:minorTickMark val="none"/>
        <c:tickLblPos val="nextTo"/>
        <c:crossAx val="1986542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29" fmlaLink="A3" fmlaRange="Tabelle" sel="127" val="125"/>
</file>

<file path=xl/ctrlProps/ctrlProp10.xml><?xml version="1.0" encoding="utf-8"?>
<formControlPr xmlns="http://schemas.microsoft.com/office/spreadsheetml/2009/9/main" objectType="Drop" dropLines="20" dropStyle="combo" dx="29" fmlaLink="A13" fmlaRange="Tabelle" sel="127" val="126"/>
</file>

<file path=xl/ctrlProps/ctrlProp100.xml><?xml version="1.0" encoding="utf-8"?>
<formControlPr xmlns="http://schemas.microsoft.com/office/spreadsheetml/2009/9/main" objectType="Radio" checked="Checked" lockText="1" noThreeD="1"/>
</file>

<file path=xl/ctrlProps/ctrlProp101.xml><?xml version="1.0" encoding="utf-8"?>
<formControlPr xmlns="http://schemas.microsoft.com/office/spreadsheetml/2009/9/main" objectType="Spin" dx="15" fmlaLink="$U$4" inc="100" max="1600" min="400" page="10" val="800"/>
</file>

<file path=xl/ctrlProps/ctrlProp11.xml><?xml version="1.0" encoding="utf-8"?>
<formControlPr xmlns="http://schemas.microsoft.com/office/spreadsheetml/2009/9/main" objectType="Drop" dropLines="20" dropStyle="combo" dx="29" fmlaLink="A14" fmlaRange="Tabelle" sel="127" val="126"/>
</file>

<file path=xl/ctrlProps/ctrlProp12.xml><?xml version="1.0" encoding="utf-8"?>
<formControlPr xmlns="http://schemas.microsoft.com/office/spreadsheetml/2009/9/main" objectType="Drop" dropLines="20" dropStyle="combo" dx="29" fmlaLink="A15" fmlaRange="Tabelle" sel="127" val="126"/>
</file>

<file path=xl/ctrlProps/ctrlProp13.xml><?xml version="1.0" encoding="utf-8"?>
<formControlPr xmlns="http://schemas.microsoft.com/office/spreadsheetml/2009/9/main" objectType="Drop" dropLines="20" dropStyle="combo" dx="29" fmlaLink="A16" fmlaRange="Tabelle" sel="127" val="126"/>
</file>

<file path=xl/ctrlProps/ctrlProp14.xml><?xml version="1.0" encoding="utf-8"?>
<formControlPr xmlns="http://schemas.microsoft.com/office/spreadsheetml/2009/9/main" objectType="Drop" dropLines="20" dropStyle="combo" dx="29" fmlaLink="A17" fmlaRange="Tabelle" sel="127" val="126"/>
</file>

<file path=xl/ctrlProps/ctrlProp15.xml><?xml version="1.0" encoding="utf-8"?>
<formControlPr xmlns="http://schemas.microsoft.com/office/spreadsheetml/2009/9/main" objectType="Drop" dropLines="20" dropStyle="combo" dx="29" fmlaLink="A18" fmlaRange="Tabelle" sel="127" val="126"/>
</file>

<file path=xl/ctrlProps/ctrlProp16.xml><?xml version="1.0" encoding="utf-8"?>
<formControlPr xmlns="http://schemas.microsoft.com/office/spreadsheetml/2009/9/main" objectType="Drop" dropLines="20" dropStyle="combo" dx="29" fmlaLink="A19" fmlaRange="Tabelle" sel="127" val="126"/>
</file>

<file path=xl/ctrlProps/ctrlProp17.xml><?xml version="1.0" encoding="utf-8"?>
<formControlPr xmlns="http://schemas.microsoft.com/office/spreadsheetml/2009/9/main" objectType="Drop" dropLines="20" dropStyle="combo" dx="29" fmlaLink="A20" fmlaRange="Tabelle" sel="167" val="149"/>
</file>

<file path=xl/ctrlProps/ctrlProp18.xml><?xml version="1.0" encoding="utf-8"?>
<formControlPr xmlns="http://schemas.microsoft.com/office/spreadsheetml/2009/9/main" objectType="Drop" dropLines="20" dropStyle="combo" dx="29" fmlaLink="A5" fmlaRange="Tabelle" sel="175" val="167"/>
</file>

<file path=xl/ctrlProps/ctrlProp19.xml><?xml version="1.0" encoding="utf-8"?>
<formControlPr xmlns="http://schemas.microsoft.com/office/spreadsheetml/2009/9/main" objectType="Drop" dropLines="20" dropStyle="combo" dx="29" fmlaLink="C20" fmlaRange="Tabelle" sel="126" val="125"/>
</file>

<file path=xl/ctrlProps/ctrlProp2.xml><?xml version="1.0" encoding="utf-8"?>
<formControlPr xmlns="http://schemas.microsoft.com/office/spreadsheetml/2009/9/main" objectType="Drop" dropLines="20" dropStyle="combo" dx="29" fmlaLink="A4" fmlaRange="Tabelle" sel="127" val="125"/>
</file>

<file path=xl/ctrlProps/ctrlProp20.xml><?xml version="1.0" encoding="utf-8"?>
<formControlPr xmlns="http://schemas.microsoft.com/office/spreadsheetml/2009/9/main" objectType="Drop" dropLines="20" dropStyle="combo" dx="29" fmlaLink="C21" fmlaRange="Tabelle" sel="70" val="69"/>
</file>

<file path=xl/ctrlProps/ctrlProp21.xml><?xml version="1.0" encoding="utf-8"?>
<formControlPr xmlns="http://schemas.microsoft.com/office/spreadsheetml/2009/9/main" objectType="Drop" dropLines="20" dropStyle="combo" dx="29" fmlaLink="C22" fmlaRange="Tabelle" sel="26" val="21"/>
</file>

<file path=xl/ctrlProps/ctrlProp22.xml><?xml version="1.0" encoding="utf-8"?>
<formControlPr xmlns="http://schemas.microsoft.com/office/spreadsheetml/2009/9/main" objectType="Drop" dropLines="20" dropStyle="combo" dx="29" fmlaLink="C23" fmlaRange="Tabelle" sel="27" val="26"/>
</file>

<file path=xl/ctrlProps/ctrlProp23.xml><?xml version="1.0" encoding="utf-8"?>
<formControlPr xmlns="http://schemas.microsoft.com/office/spreadsheetml/2009/9/main" objectType="Drop" dropLines="20" dropStyle="combo" dx="29" fmlaLink="C25" fmlaRange="Tabelle" sel="27" val="22"/>
</file>

<file path=xl/ctrlProps/ctrlProp24.xml><?xml version="1.0" encoding="utf-8"?>
<formControlPr xmlns="http://schemas.microsoft.com/office/spreadsheetml/2009/9/main" objectType="Drop" dropLines="20" dropStyle="combo" dx="29" fmlaLink="C24" fmlaRange="Tabelle" sel="8" val="5"/>
</file>

<file path=xl/ctrlProps/ctrlProp25.xml><?xml version="1.0" encoding="utf-8"?>
<formControlPr xmlns="http://schemas.microsoft.com/office/spreadsheetml/2009/9/main" objectType="Drop" dropLines="20" dropStyle="combo" dx="29" fmlaLink="C29" fmlaRange="Tabelle" sel="174" val="172"/>
</file>

<file path=xl/ctrlProps/ctrlProp26.xml><?xml version="1.0" encoding="utf-8"?>
<formControlPr xmlns="http://schemas.microsoft.com/office/spreadsheetml/2009/9/main" objectType="Drop" dropLines="20" dropStyle="combo" dx="29" fmlaLink="C32" fmlaRange="Tabelle" sel="191" val="172"/>
</file>

<file path=xl/ctrlProps/ctrlProp27.xml><?xml version="1.0" encoding="utf-8"?>
<formControlPr xmlns="http://schemas.microsoft.com/office/spreadsheetml/2009/9/main" objectType="Drop" dropLines="20" dropStyle="combo" dx="29" fmlaLink="C37" fmlaRange="Tabelle" sel="174" val="170"/>
</file>

<file path=xl/ctrlProps/ctrlProp28.xml><?xml version="1.0" encoding="utf-8"?>
<formControlPr xmlns="http://schemas.microsoft.com/office/spreadsheetml/2009/9/main" objectType="Drop" dropLines="20" dropStyle="combo" dx="29" fmlaLink="C31" fmlaRange="Tabelle" sel="47" val="46"/>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Lines="20" dropStyle="combo" dx="29" fmlaLink="A6" fmlaRange="Tabelle" sel="127" val="125"/>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Drop" dropLines="20" dropStyle="combo" dx="29" fmlaLink="C30" fmlaRange="Tabelle" sel="174" val="172"/>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checked="Checked" firstButton="1" fmlaLink="TM_FM"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firstButton="1" fmlaLink="TMR"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Drop" dropLines="20" dropStyle="combo" dx="29" fmlaLink="C38" fmlaRange="Tabelle" sel="191" val="172"/>
</file>

<file path=xl/ctrlProps/ctrlProp39.xml><?xml version="1.0" encoding="utf-8"?>
<formControlPr xmlns="http://schemas.microsoft.com/office/spreadsheetml/2009/9/main" objectType="Radio" checked="Checked" firstButton="1" fmlaLink="Art" lockText="1" noThreeD="1"/>
</file>

<file path=xl/ctrlProps/ctrlProp4.xml><?xml version="1.0" encoding="utf-8"?>
<formControlPr xmlns="http://schemas.microsoft.com/office/spreadsheetml/2009/9/main" objectType="Drop" dropLines="20" dropStyle="combo" dx="29" fmlaLink="A7" fmlaRange="Tabelle" sel="127" val="126"/>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Rasse" lockText="1" noThreeD="1"/>
</file>

<file path=xl/ctrlProps/ctrlProp43.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Drop" dropLines="50" dropStyle="combo" dx="29" fmlaLink="AF4" fmlaRange="Tabelle" noThreeD="1" sel="171" val="142"/>
</file>

<file path=xl/ctrlProps/ctrlProp46.xml><?xml version="1.0" encoding="utf-8"?>
<formControlPr xmlns="http://schemas.microsoft.com/office/spreadsheetml/2009/9/main" objectType="Spin" dx="15" fmlaLink="AF17" max="120" min="80" page="10" val="100"/>
</file>

<file path=xl/ctrlProps/ctrlProp47.xml><?xml version="1.0" encoding="utf-8"?>
<formControlPr xmlns="http://schemas.microsoft.com/office/spreadsheetml/2009/9/main" objectType="Spin" dx="15" fmlaLink="AF15" max="65" min="25" page="10" val="45"/>
</file>

<file path=xl/ctrlProps/ctrlProp48.xml><?xml version="1.0" encoding="utf-8"?>
<formControlPr xmlns="http://schemas.microsoft.com/office/spreadsheetml/2009/9/main" objectType="Spin" dx="15" fmlaLink="AF12" max="410" min="380" page="10" val="400"/>
</file>

<file path=xl/ctrlProps/ctrlProp49.xml><?xml version="1.0" encoding="utf-8"?>
<formControlPr xmlns="http://schemas.microsoft.com/office/spreadsheetml/2009/9/main" objectType="Spin" dx="15" fmlaLink="AF13" max="30" page="10" val="0"/>
</file>

<file path=xl/ctrlProps/ctrlProp5.xml><?xml version="1.0" encoding="utf-8"?>
<formControlPr xmlns="http://schemas.microsoft.com/office/spreadsheetml/2009/9/main" objectType="Drop" dropLines="20" dropStyle="combo" dx="29" fmlaLink="A8" fmlaRange="Tabelle" sel="127" val="126"/>
</file>

<file path=xl/ctrlProps/ctrlProp50.xml><?xml version="1.0" encoding="utf-8"?>
<formControlPr xmlns="http://schemas.microsoft.com/office/spreadsheetml/2009/9/main" objectType="Drop" dropLines="50" dropStyle="combo" dx="29" fmlaLink="AF6" fmlaRange="Tabelle" noThreeD="1" sel="152" val="127"/>
</file>

<file path=xl/ctrlProps/ctrlProp51.xml><?xml version="1.0" encoding="utf-8"?>
<formControlPr xmlns="http://schemas.microsoft.com/office/spreadsheetml/2009/9/main" objectType="Spin" dx="15" fmlaLink="J6" inc="2000" max="11000" min="7000" page="10" val="11000"/>
</file>

<file path=xl/ctrlProps/ctrlProp52.xml><?xml version="1.0" encoding="utf-8"?>
<formControlPr xmlns="http://schemas.microsoft.com/office/spreadsheetml/2009/9/main" objectType="Drop" dropLines="20" dropStyle="combo" dx="29" fmlaLink="A4" fmlaRange="Tabelle" sel="70" val="69"/>
</file>

<file path=xl/ctrlProps/ctrlProp53.xml><?xml version="1.0" encoding="utf-8"?>
<formControlPr xmlns="http://schemas.microsoft.com/office/spreadsheetml/2009/9/main" objectType="Drop" dropLines="20" dropStyle="combo" dx="29" fmlaLink="A7" fmlaRange="Tabelle" sel="26" val="24"/>
</file>

<file path=xl/ctrlProps/ctrlProp54.xml><?xml version="1.0" encoding="utf-8"?>
<formControlPr xmlns="http://schemas.microsoft.com/office/spreadsheetml/2009/9/main" objectType="Drop" dropLines="20" dropStyle="combo" dx="29" fmlaLink="A8" fmlaRange="Tabelle" sel="8" val="3"/>
</file>

<file path=xl/ctrlProps/ctrlProp55.xml><?xml version="1.0" encoding="utf-8"?>
<formControlPr xmlns="http://schemas.microsoft.com/office/spreadsheetml/2009/9/main" objectType="Drop" dropLines="20" dropStyle="combo" dx="29" fmlaLink="A9" fmlaRange="Tabelle" sel="16" val="15"/>
</file>

<file path=xl/ctrlProps/ctrlProp56.xml><?xml version="1.0" encoding="utf-8"?>
<formControlPr xmlns="http://schemas.microsoft.com/office/spreadsheetml/2009/9/main" objectType="Drop" dropLines="20" dropStyle="combo" dx="29" fmlaLink="A10" fmlaRange="Tabelle" sel="175" val="172"/>
</file>

<file path=xl/ctrlProps/ctrlProp57.xml><?xml version="1.0" encoding="utf-8"?>
<formControlPr xmlns="http://schemas.microsoft.com/office/spreadsheetml/2009/9/main" objectType="Drop" dropLines="20" dropStyle="combo" dx="29" fmlaLink="A11" fmlaRange="Tabelle" sel="175" val="172"/>
</file>

<file path=xl/ctrlProps/ctrlProp58.xml><?xml version="1.0" encoding="utf-8"?>
<formControlPr xmlns="http://schemas.microsoft.com/office/spreadsheetml/2009/9/main" objectType="Drop" dropLines="20" dropStyle="combo" dx="29" fmlaLink="A12" fmlaRange="Tabelle" sel="9" val="8"/>
</file>

<file path=xl/ctrlProps/ctrlProp59.xml><?xml version="1.0" encoding="utf-8"?>
<formControlPr xmlns="http://schemas.microsoft.com/office/spreadsheetml/2009/9/main" objectType="Drop" dropLines="20" dropStyle="combo" dx="29" fmlaLink="A13" fmlaRange="Tabelle" sel="17" val="11"/>
</file>

<file path=xl/ctrlProps/ctrlProp6.xml><?xml version="1.0" encoding="utf-8"?>
<formControlPr xmlns="http://schemas.microsoft.com/office/spreadsheetml/2009/9/main" objectType="Drop" dropLines="20" dropStyle="combo" dx="29" fmlaLink="A9" fmlaRange="Tabelle" sel="127" val="126"/>
</file>

<file path=xl/ctrlProps/ctrlProp60.xml><?xml version="1.0" encoding="utf-8"?>
<formControlPr xmlns="http://schemas.microsoft.com/office/spreadsheetml/2009/9/main" objectType="Drop" dropLines="20" dropStyle="combo" dx="29" fmlaLink="A14" fmlaRange="Tabelle" sel="15" val="14"/>
</file>

<file path=xl/ctrlProps/ctrlProp61.xml><?xml version="1.0" encoding="utf-8"?>
<formControlPr xmlns="http://schemas.microsoft.com/office/spreadsheetml/2009/9/main" objectType="Drop" dropLines="20" dropStyle="combo" dx="29" fmlaLink="A15" fmlaRange="Tabelle" sel="24" val="18"/>
</file>

<file path=xl/ctrlProps/ctrlProp62.xml><?xml version="1.0" encoding="utf-8"?>
<formControlPr xmlns="http://schemas.microsoft.com/office/spreadsheetml/2009/9/main" objectType="Drop" dropLines="20" dropStyle="combo" dx="29" fmlaLink="A16" fmlaRange="Tabelle" sel="25" val="21"/>
</file>

<file path=xl/ctrlProps/ctrlProp63.xml><?xml version="1.0" encoding="utf-8"?>
<formControlPr xmlns="http://schemas.microsoft.com/office/spreadsheetml/2009/9/main" objectType="Drop" dropLines="20" dropStyle="combo" dx="29" fmlaLink="A17" fmlaRange="Tabelle" val="0"/>
</file>

<file path=xl/ctrlProps/ctrlProp64.xml><?xml version="1.0" encoding="utf-8"?>
<formControlPr xmlns="http://schemas.microsoft.com/office/spreadsheetml/2009/9/main" objectType="Drop" dropLines="20" dropStyle="combo" dx="29" fmlaLink="A18" fmlaRange="Tabelle_KF" sel="47" val="0"/>
</file>

<file path=xl/ctrlProps/ctrlProp65.xml><?xml version="1.0" encoding="utf-8"?>
<formControlPr xmlns="http://schemas.microsoft.com/office/spreadsheetml/2009/9/main" objectType="Drop" dropLines="20" dropStyle="combo" dx="29" fmlaLink="A18" fmlaRange="Tabelle" sel="47" val="38"/>
</file>

<file path=xl/ctrlProps/ctrlProp66.xml><?xml version="1.0" encoding="utf-8"?>
<formControlPr xmlns="http://schemas.microsoft.com/office/spreadsheetml/2009/9/main" objectType="Drop" dropLines="20" dropStyle="combo" dx="29" fmlaLink="A18" fmlaRange="Tabelle_KF" sel="47" val="0"/>
</file>

<file path=xl/ctrlProps/ctrlProp67.xml><?xml version="1.0" encoding="utf-8"?>
<formControlPr xmlns="http://schemas.microsoft.com/office/spreadsheetml/2009/9/main" objectType="Drop" dropLines="20" dropStyle="combo" dx="29" fmlaLink="A19" fmlaRange="Tabelle" val="0"/>
</file>

<file path=xl/ctrlProps/ctrlProp68.xml><?xml version="1.0" encoding="utf-8"?>
<formControlPr xmlns="http://schemas.microsoft.com/office/spreadsheetml/2009/9/main" objectType="Drop" dropLines="20" dropStyle="combo" dx="29" fmlaLink="A18" fmlaRange="Tabelle_KF" sel="47" val="0"/>
</file>

<file path=xl/ctrlProps/ctrlProp69.xml><?xml version="1.0" encoding="utf-8"?>
<formControlPr xmlns="http://schemas.microsoft.com/office/spreadsheetml/2009/9/main" objectType="Drop" dropLines="20" dropStyle="combo" dx="29" fmlaLink="A20" fmlaRange="Tabelle" sel="37" val="36"/>
</file>

<file path=xl/ctrlProps/ctrlProp7.xml><?xml version="1.0" encoding="utf-8"?>
<formControlPr xmlns="http://schemas.microsoft.com/office/spreadsheetml/2009/9/main" objectType="Drop" dropLines="20" dropStyle="combo" dx="29" fmlaLink="A10" fmlaRange="Tabelle" sel="127" val="117"/>
</file>

<file path=xl/ctrlProps/ctrlProp70.xml><?xml version="1.0" encoding="utf-8"?>
<formControlPr xmlns="http://schemas.microsoft.com/office/spreadsheetml/2009/9/main" objectType="Drop" dropLines="20" dropStyle="combo" dx="29" fmlaLink="A18" fmlaRange="Tabelle_KF" sel="47" val="0"/>
</file>

<file path=xl/ctrlProps/ctrlProp71.xml><?xml version="1.0" encoding="utf-8"?>
<formControlPr xmlns="http://schemas.microsoft.com/office/spreadsheetml/2009/9/main" objectType="Drop" dropLines="20" dropStyle="combo" dx="29" fmlaLink="A21" fmlaRange="Tabelle" sel="37" val="26"/>
</file>

<file path=xl/ctrlProps/ctrlProp72.xml><?xml version="1.0" encoding="utf-8"?>
<formControlPr xmlns="http://schemas.microsoft.com/office/spreadsheetml/2009/9/main" objectType="Drop" dropLines="20" dropStyle="combo" dx="29" fmlaLink="A18" fmlaRange="Tabelle_KF" sel="47" val="0"/>
</file>

<file path=xl/ctrlProps/ctrlProp73.xml><?xml version="1.0" encoding="utf-8"?>
<formControlPr xmlns="http://schemas.microsoft.com/office/spreadsheetml/2009/9/main" objectType="Drop" dropLines="20" dropStyle="combo" dx="29" fmlaLink="A22" fmlaRange="Tabelle_KF" val="21"/>
</file>

<file path=xl/ctrlProps/ctrlProp74.xml><?xml version="1.0" encoding="utf-8"?>
<formControlPr xmlns="http://schemas.microsoft.com/office/spreadsheetml/2009/9/main" objectType="Drop" dropLines="20" dropStyle="combo" dx="29" fmlaLink="A5" fmlaRange="Tabelle" sel="174" val="168"/>
</file>

<file path=xl/ctrlProps/ctrlProp75.xml><?xml version="1.0" encoding="utf-8"?>
<formControlPr xmlns="http://schemas.microsoft.com/office/spreadsheetml/2009/9/main" objectType="Drop" dropLines="20" dropStyle="combo" dx="29" fmlaLink="A6" fmlaRange="Tabelle" sel="71" val="61"/>
</file>

<file path=xl/ctrlProps/ctrlProp76.xml><?xml version="1.0" encoding="utf-8"?>
<formControlPr xmlns="http://schemas.microsoft.com/office/spreadsheetml/2009/9/main" objectType="Drop" dropLines="20" dropStyle="combo" dx="29" fmlaLink="A18" fmlaRange="Tabelle_KF" sel="47" val="0"/>
</file>

<file path=xl/ctrlProps/ctrlProp77.xml><?xml version="1.0" encoding="utf-8"?>
<formControlPr xmlns="http://schemas.microsoft.com/office/spreadsheetml/2009/9/main" objectType="Drop" dropLines="20" dropStyle="combo" dx="29" fmlaLink="A22" fmlaRange="Tabelle" val="0"/>
</file>

<file path=xl/ctrlProps/ctrlProp78.xml><?xml version="1.0" encoding="utf-8"?>
<formControlPr xmlns="http://schemas.microsoft.com/office/spreadsheetml/2009/9/main" objectType="Drop" dropLines="20" dropStyle="combo" dx="29" fmlaLink="A18" fmlaRange="Tabelle_KF" sel="47" val="0"/>
</file>

<file path=xl/ctrlProps/ctrlProp79.xml><?xml version="1.0" encoding="utf-8"?>
<formControlPr xmlns="http://schemas.microsoft.com/office/spreadsheetml/2009/9/main" objectType="Drop" dropLines="20" dropStyle="combo" dx="29" fmlaLink="A23" fmlaRange="Tabelle" val="30"/>
</file>

<file path=xl/ctrlProps/ctrlProp8.xml><?xml version="1.0" encoding="utf-8"?>
<formControlPr xmlns="http://schemas.microsoft.com/office/spreadsheetml/2009/9/main" objectType="Drop" dropLines="20" dropStyle="combo" dx="29" fmlaLink="A11" fmlaRange="Tabelle" sel="127" val="126"/>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G4"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checked="Checked" firstButton="1" fmlaLink="B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K4"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Drop" dropLines="20" dropStyle="combo" dx="29" fmlaLink="C10" fmlaRange="Tabelle" sel="71" val="70"/>
</file>

<file path=xl/ctrlProps/ctrlProp9.xml><?xml version="1.0" encoding="utf-8"?>
<formControlPr xmlns="http://schemas.microsoft.com/office/spreadsheetml/2009/9/main" objectType="Drop" dropLines="20" dropStyle="combo" dx="29" fmlaLink="A12" fmlaRange="Tabelle" sel="127" val="126"/>
</file>

<file path=xl/ctrlProps/ctrlProp90.xml><?xml version="1.0" encoding="utf-8"?>
<formControlPr xmlns="http://schemas.microsoft.com/office/spreadsheetml/2009/9/main" objectType="Drop" dropLines="20" dropStyle="combo" dx="29" fmlaLink="C11" fmlaRange="Tabelle" sel="108" val="106"/>
</file>

<file path=xl/ctrlProps/ctrlProp91.xml><?xml version="1.0" encoding="utf-8"?>
<formControlPr xmlns="http://schemas.microsoft.com/office/spreadsheetml/2009/9/main" objectType="Drop" dropLines="20" dropStyle="combo" dx="29" fmlaLink="C12" fmlaRange="Tabelle" sel="71" val="60"/>
</file>

<file path=xl/ctrlProps/ctrlProp92.xml><?xml version="1.0" encoding="utf-8"?>
<formControlPr xmlns="http://schemas.microsoft.com/office/spreadsheetml/2009/9/main" objectType="Drop" dropLines="20" dropStyle="combo" dx="29" fmlaLink="#REF!" fmlaRange="Tabelle" sel="0" val="0"/>
</file>

<file path=xl/ctrlProps/ctrlProp93.xml><?xml version="1.0" encoding="utf-8"?>
<formControlPr xmlns="http://schemas.microsoft.com/office/spreadsheetml/2009/9/main" objectType="Drop" dropLines="20" dropStyle="combo" dx="29" fmlaLink="C14" fmlaRange="Tabelle" sel="71" val="64"/>
</file>

<file path=xl/ctrlProps/ctrlProp94.xml><?xml version="1.0" encoding="utf-8"?>
<formControlPr xmlns="http://schemas.microsoft.com/office/spreadsheetml/2009/9/main" objectType="Drop" dropLines="20" dropStyle="combo" dx="29" fmlaLink="C13" fmlaRange="Tabelle" sel="71" val="58"/>
</file>

<file path=xl/ctrlProps/ctrlProp95.xml><?xml version="1.0" encoding="utf-8"?>
<formControlPr xmlns="http://schemas.microsoft.com/office/spreadsheetml/2009/9/main" objectType="Drop" dropLines="20" dropStyle="combo" dx="29" fmlaLink="#REF!" fmlaRange="Tabelle" sel="0" val="0"/>
</file>

<file path=xl/ctrlProps/ctrlProp96.xml><?xml version="1.0" encoding="utf-8"?>
<formControlPr xmlns="http://schemas.microsoft.com/office/spreadsheetml/2009/9/main" objectType="Drop" dropLines="20" dropStyle="combo" dx="29" fmlaLink="C20" fmlaRange="Tabelle" sel="127" val="126"/>
</file>

<file path=xl/ctrlProps/ctrlProp97.xml><?xml version="1.0" encoding="utf-8"?>
<formControlPr xmlns="http://schemas.microsoft.com/office/spreadsheetml/2009/9/main" objectType="Drop" dropLines="20" dropStyle="combo" dx="29" fmlaLink="C19" fmlaRange="Tabelle" sel="127" val="122"/>
</file>

<file path=xl/ctrlProps/ctrlProp98.xml><?xml version="1.0" encoding="utf-8"?>
<formControlPr xmlns="http://schemas.microsoft.com/office/spreadsheetml/2009/9/main" objectType="Drop" dropLines="20" dropStyle="combo" dx="29" fmlaLink="C18" fmlaRange="Tabelle" sel="71" val="70"/>
</file>

<file path=xl/ctrlProps/ctrlProp99.xml><?xml version="1.0" encoding="utf-8"?>
<formControlPr xmlns="http://schemas.microsoft.com/office/spreadsheetml/2009/9/main" objectType="Spin" dx="15" fmlaLink="$V$5" max="120" min="80" page="10" val="100"/>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xdr:cNvGrpSpPr>
          <a:grpSpLocks noChangeAspect="1"/>
        </xdr:cNvGrpSpPr>
      </xdr:nvGrpSpPr>
      <xdr:grpSpPr bwMode="auto">
        <a:xfrm>
          <a:off x="6821676" y="1533525"/>
          <a:ext cx="2960499" cy="3095625"/>
          <a:chOff x="10701" y="3184"/>
          <a:chExt cx="4515" cy="4719"/>
        </a:xfrm>
      </xdr:grpSpPr>
      <xdr:pic>
        <xdr:nvPicPr>
          <xdr:cNvPr id="15" name="Grafik 14" descr="KuhViehh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Lst>
              </xdr:cNvPr>
              <xdr:cNvSpPr/>
            </xdr:nvSpPr>
            <xdr:spPr>
              <a:xfrm>
                <a:off x="10701" y="4504"/>
                <a:ext cx="3300" cy="2509"/>
              </a:xfrm>
              <a:prstGeom prst="rect">
                <a:avLst/>
              </a:prstGeom>
            </xdr:spPr>
          </xdr:sp>
        </mc:Choice>
        <mc:Fallback/>
      </mc:AlternateContent>
      <xdr:pic>
        <xdr:nvPicPr>
          <xdr:cNvPr id="17" name="Grafik 16" descr="Nolana02_02_1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6457950</xdr:colOff>
      <xdr:row>12</xdr:row>
      <xdr:rowOff>55748</xdr:rowOff>
    </xdr:from>
    <xdr:to>
      <xdr:col>1</xdr:col>
      <xdr:colOff>9201150</xdr:colOff>
      <xdr:row>16</xdr:row>
      <xdr:rowOff>46811</xdr:rowOff>
    </xdr:to>
    <xdr:pic>
      <xdr:nvPicPr>
        <xdr:cNvPr id="2" name="Grafik 1"/>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219950" y="6789923"/>
          <a:ext cx="2743200" cy="638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78441</xdr:rowOff>
    </xdr:from>
    <xdr:to>
      <xdr:col>23</xdr:col>
      <xdr:colOff>116071</xdr:colOff>
      <xdr:row>0</xdr:row>
      <xdr:rowOff>427676</xdr:rowOff>
    </xdr:to>
    <xdr:pic>
      <xdr:nvPicPr>
        <xdr:cNvPr id="3"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29147" y="78441"/>
          <a:ext cx="1484309"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27</xdr:col>
          <xdr:colOff>9525</xdr:colOff>
          <xdr:row>3</xdr:row>
          <xdr:rowOff>19050</xdr:rowOff>
        </xdr:to>
        <xdr:sp macro="" textlink="">
          <xdr:nvSpPr>
            <xdr:cNvPr id="6145" name="Drop Down 1" hidden="1">
              <a:extLst>
                <a:ext uri="{63B3BB69-23CF-44E3-9099-C40C66FF867C}">
                  <a14:compatExt spid="_x0000_s614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28575</xdr:rowOff>
        </xdr:from>
        <xdr:to>
          <xdr:col>27</xdr:col>
          <xdr:colOff>9525</xdr:colOff>
          <xdr:row>4</xdr:row>
          <xdr:rowOff>19050</xdr:rowOff>
        </xdr:to>
        <xdr:sp macro="" textlink="">
          <xdr:nvSpPr>
            <xdr:cNvPr id="6146" name="Drop Down 2" hidden="1">
              <a:extLst>
                <a:ext uri="{63B3BB69-23CF-44E3-9099-C40C66FF867C}">
                  <a14:compatExt spid="_x0000_s614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27</xdr:col>
          <xdr:colOff>9525</xdr:colOff>
          <xdr:row>6</xdr:row>
          <xdr:rowOff>19050</xdr:rowOff>
        </xdr:to>
        <xdr:sp macro="" textlink="">
          <xdr:nvSpPr>
            <xdr:cNvPr id="6148" name="Drop Down 4" hidden="1">
              <a:extLst>
                <a:ext uri="{63B3BB69-23CF-44E3-9099-C40C66FF867C}">
                  <a14:compatExt spid="_x0000_s61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27</xdr:col>
          <xdr:colOff>9525</xdr:colOff>
          <xdr:row>7</xdr:row>
          <xdr:rowOff>19050</xdr:rowOff>
        </xdr:to>
        <xdr:sp macro="" textlink="">
          <xdr:nvSpPr>
            <xdr:cNvPr id="6149" name="Drop Down 5" hidden="1">
              <a:extLst>
                <a:ext uri="{63B3BB69-23CF-44E3-9099-C40C66FF867C}">
                  <a14:compatExt spid="_x0000_s61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27</xdr:col>
          <xdr:colOff>9525</xdr:colOff>
          <xdr:row>8</xdr:row>
          <xdr:rowOff>19050</xdr:rowOff>
        </xdr:to>
        <xdr:sp macro="" textlink="">
          <xdr:nvSpPr>
            <xdr:cNvPr id="6150" name="Drop Down 6" hidden="1">
              <a:extLst>
                <a:ext uri="{63B3BB69-23CF-44E3-9099-C40C66FF867C}">
                  <a14:compatExt spid="_x0000_s61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27</xdr:col>
          <xdr:colOff>9525</xdr:colOff>
          <xdr:row>9</xdr:row>
          <xdr:rowOff>19050</xdr:rowOff>
        </xdr:to>
        <xdr:sp macro="" textlink="">
          <xdr:nvSpPr>
            <xdr:cNvPr id="6151" name="Drop Down 7" hidden="1">
              <a:extLst>
                <a:ext uri="{63B3BB69-23CF-44E3-9099-C40C66FF867C}">
                  <a14:compatExt spid="_x0000_s615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28575</xdr:rowOff>
        </xdr:from>
        <xdr:to>
          <xdr:col>27</xdr:col>
          <xdr:colOff>9525</xdr:colOff>
          <xdr:row>10</xdr:row>
          <xdr:rowOff>19050</xdr:rowOff>
        </xdr:to>
        <xdr:sp macro="" textlink="">
          <xdr:nvSpPr>
            <xdr:cNvPr id="6152" name="Drop Down 8" hidden="1">
              <a:extLst>
                <a:ext uri="{63B3BB69-23CF-44E3-9099-C40C66FF867C}">
                  <a14:compatExt spid="_x0000_s615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28575</xdr:rowOff>
        </xdr:from>
        <xdr:to>
          <xdr:col>27</xdr:col>
          <xdr:colOff>9525</xdr:colOff>
          <xdr:row>11</xdr:row>
          <xdr:rowOff>19050</xdr:rowOff>
        </xdr:to>
        <xdr:sp macro="" textlink="">
          <xdr:nvSpPr>
            <xdr:cNvPr id="6153" name="Drop Down 9" hidden="1">
              <a:extLst>
                <a:ext uri="{63B3BB69-23CF-44E3-9099-C40C66FF867C}">
                  <a14:compatExt spid="_x0000_s615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27</xdr:col>
          <xdr:colOff>9525</xdr:colOff>
          <xdr:row>12</xdr:row>
          <xdr:rowOff>19050</xdr:rowOff>
        </xdr:to>
        <xdr:sp macro="" textlink="">
          <xdr:nvSpPr>
            <xdr:cNvPr id="6154" name="Drop Down 10" hidden="1">
              <a:extLst>
                <a:ext uri="{63B3BB69-23CF-44E3-9099-C40C66FF867C}">
                  <a14:compatExt spid="_x0000_s615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28575</xdr:rowOff>
        </xdr:from>
        <xdr:to>
          <xdr:col>27</xdr:col>
          <xdr:colOff>9525</xdr:colOff>
          <xdr:row>13</xdr:row>
          <xdr:rowOff>19050</xdr:rowOff>
        </xdr:to>
        <xdr:sp macro="" textlink="">
          <xdr:nvSpPr>
            <xdr:cNvPr id="6155" name="Drop Down 11" hidden="1">
              <a:extLst>
                <a:ext uri="{63B3BB69-23CF-44E3-9099-C40C66FF867C}">
                  <a14:compatExt spid="_x0000_s615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28575</xdr:rowOff>
        </xdr:from>
        <xdr:to>
          <xdr:col>27</xdr:col>
          <xdr:colOff>9525</xdr:colOff>
          <xdr:row>14</xdr:row>
          <xdr:rowOff>19050</xdr:rowOff>
        </xdr:to>
        <xdr:sp macro="" textlink="">
          <xdr:nvSpPr>
            <xdr:cNvPr id="6156" name="Drop Down 12" hidden="1">
              <a:extLst>
                <a:ext uri="{63B3BB69-23CF-44E3-9099-C40C66FF867C}">
                  <a14:compatExt spid="_x0000_s615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27</xdr:col>
          <xdr:colOff>9525</xdr:colOff>
          <xdr:row>15</xdr:row>
          <xdr:rowOff>28575</xdr:rowOff>
        </xdr:to>
        <xdr:sp macro="" textlink="">
          <xdr:nvSpPr>
            <xdr:cNvPr id="6158" name="Drop Down 14" hidden="1">
              <a:extLst>
                <a:ext uri="{63B3BB69-23CF-44E3-9099-C40C66FF867C}">
                  <a14:compatExt spid="_x0000_s615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27</xdr:col>
          <xdr:colOff>9525</xdr:colOff>
          <xdr:row>16</xdr:row>
          <xdr:rowOff>28575</xdr:rowOff>
        </xdr:to>
        <xdr:sp macro="" textlink="">
          <xdr:nvSpPr>
            <xdr:cNvPr id="6160" name="Drop Down 16" hidden="1">
              <a:extLst>
                <a:ext uri="{63B3BB69-23CF-44E3-9099-C40C66FF867C}">
                  <a14:compatExt spid="_x0000_s616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27</xdr:col>
          <xdr:colOff>9525</xdr:colOff>
          <xdr:row>17</xdr:row>
          <xdr:rowOff>28575</xdr:rowOff>
        </xdr:to>
        <xdr:sp macro="" textlink="">
          <xdr:nvSpPr>
            <xdr:cNvPr id="6162" name="Drop Down 18" hidden="1">
              <a:extLst>
                <a:ext uri="{63B3BB69-23CF-44E3-9099-C40C66FF867C}">
                  <a14:compatExt spid="_x0000_s616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27</xdr:col>
          <xdr:colOff>9525</xdr:colOff>
          <xdr:row>18</xdr:row>
          <xdr:rowOff>28575</xdr:rowOff>
        </xdr:to>
        <xdr:sp macro="" textlink="">
          <xdr:nvSpPr>
            <xdr:cNvPr id="6164" name="Drop Down 20" hidden="1">
              <a:extLst>
                <a:ext uri="{63B3BB69-23CF-44E3-9099-C40C66FF867C}">
                  <a14:compatExt spid="_x0000_s616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27</xdr:col>
          <xdr:colOff>9525</xdr:colOff>
          <xdr:row>19</xdr:row>
          <xdr:rowOff>28575</xdr:rowOff>
        </xdr:to>
        <xdr:sp macro="" textlink="">
          <xdr:nvSpPr>
            <xdr:cNvPr id="6166" name="Drop Down 22" hidden="1">
              <a:extLst>
                <a:ext uri="{63B3BB69-23CF-44E3-9099-C40C66FF867C}">
                  <a14:compatExt spid="_x0000_s616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27</xdr:col>
          <xdr:colOff>9525</xdr:colOff>
          <xdr:row>20</xdr:row>
          <xdr:rowOff>28575</xdr:rowOff>
        </xdr:to>
        <xdr:sp macro="" textlink="">
          <xdr:nvSpPr>
            <xdr:cNvPr id="6167" name="Drop Down 23" hidden="1">
              <a:extLst>
                <a:ext uri="{63B3BB69-23CF-44E3-9099-C40C66FF867C}">
                  <a14:compatExt spid="_x0000_s616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28575</xdr:rowOff>
        </xdr:from>
        <xdr:to>
          <xdr:col>27</xdr:col>
          <xdr:colOff>9525</xdr:colOff>
          <xdr:row>5</xdr:row>
          <xdr:rowOff>19050</xdr:rowOff>
        </xdr:to>
        <xdr:sp macro="" textlink="">
          <xdr:nvSpPr>
            <xdr:cNvPr id="6168" name="Drop Down 24" hidden="1">
              <a:extLst>
                <a:ext uri="{63B3BB69-23CF-44E3-9099-C40C66FF867C}">
                  <a14:compatExt spid="_x0000_s6168"/>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9</xdr:col>
      <xdr:colOff>411480</xdr:colOff>
      <xdr:row>11</xdr:row>
      <xdr:rowOff>7620</xdr:rowOff>
    </xdr:from>
    <xdr:to>
      <xdr:col>9</xdr:col>
      <xdr:colOff>411480</xdr:colOff>
      <xdr:row>12</xdr:row>
      <xdr:rowOff>175260</xdr:rowOff>
    </xdr:to>
    <xdr:sp macro="" textlink="">
      <xdr:nvSpPr>
        <xdr:cNvPr id="1208" name="Line 1"/>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434340</xdr:colOff>
      <xdr:row>13</xdr:row>
      <xdr:rowOff>175260</xdr:rowOff>
    </xdr:from>
    <xdr:to>
      <xdr:col>21</xdr:col>
      <xdr:colOff>655320</xdr:colOff>
      <xdr:row>13</xdr:row>
      <xdr:rowOff>190500</xdr:rowOff>
    </xdr:to>
    <xdr:sp macro="" textlink="">
      <xdr:nvSpPr>
        <xdr:cNvPr id="1209" name="Line 2"/>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434340</xdr:colOff>
      <xdr:row>11</xdr:row>
      <xdr:rowOff>0</xdr:rowOff>
    </xdr:from>
    <xdr:to>
      <xdr:col>8</xdr:col>
      <xdr:colOff>434340</xdr:colOff>
      <xdr:row>13</xdr:row>
      <xdr:rowOff>160020</xdr:rowOff>
    </xdr:to>
    <xdr:sp macro="" textlink="">
      <xdr:nvSpPr>
        <xdr:cNvPr id="1210" name="Line 3"/>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411480</xdr:colOff>
      <xdr:row>12</xdr:row>
      <xdr:rowOff>175260</xdr:rowOff>
    </xdr:from>
    <xdr:to>
      <xdr:col>21</xdr:col>
      <xdr:colOff>662940</xdr:colOff>
      <xdr:row>12</xdr:row>
      <xdr:rowOff>182880</xdr:rowOff>
    </xdr:to>
    <xdr:sp macro="" textlink="">
      <xdr:nvSpPr>
        <xdr:cNvPr id="1211" name="Line 4"/>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327660</xdr:colOff>
      <xdr:row>11</xdr:row>
      <xdr:rowOff>198120</xdr:rowOff>
    </xdr:from>
    <xdr:to>
      <xdr:col>21</xdr:col>
      <xdr:colOff>632460</xdr:colOff>
      <xdr:row>11</xdr:row>
      <xdr:rowOff>220980</xdr:rowOff>
    </xdr:to>
    <xdr:sp macro="" textlink="">
      <xdr:nvSpPr>
        <xdr:cNvPr id="1212" name="Line 5"/>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403860</xdr:colOff>
      <xdr:row>11</xdr:row>
      <xdr:rowOff>0</xdr:rowOff>
    </xdr:from>
    <xdr:to>
      <xdr:col>11</xdr:col>
      <xdr:colOff>403860</xdr:colOff>
      <xdr:row>11</xdr:row>
      <xdr:rowOff>190500</xdr:rowOff>
    </xdr:to>
    <xdr:sp macro="" textlink="">
      <xdr:nvSpPr>
        <xdr:cNvPr id="1213" name="Line 6"/>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335280</xdr:colOff>
      <xdr:row>11</xdr:row>
      <xdr:rowOff>0</xdr:rowOff>
    </xdr:from>
    <xdr:to>
      <xdr:col>10</xdr:col>
      <xdr:colOff>335280</xdr:colOff>
      <xdr:row>11</xdr:row>
      <xdr:rowOff>190500</xdr:rowOff>
    </xdr:to>
    <xdr:sp macro="" textlink="">
      <xdr:nvSpPr>
        <xdr:cNvPr id="1214" name="Line 7"/>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226695</xdr:colOff>
      <xdr:row>9</xdr:row>
      <xdr:rowOff>139700</xdr:rowOff>
    </xdr:from>
    <xdr:to>
      <xdr:col>3</xdr:col>
      <xdr:colOff>823010</xdr:colOff>
      <xdr:row>10</xdr:row>
      <xdr:rowOff>127000</xdr:rowOff>
    </xdr:to>
    <xdr:sp macro="" textlink="">
      <xdr:nvSpPr>
        <xdr:cNvPr id="1099" name="Text 27"/>
        <xdr:cNvSpPr txBox="1">
          <a:spLocks noChangeArrowheads="1"/>
        </xdr:cNvSpPr>
      </xdr:nvSpPr>
      <xdr:spPr bwMode="auto">
        <a:xfrm>
          <a:off x="854075" y="3035300"/>
          <a:ext cx="581025" cy="254000"/>
        </a:xfrm>
        <a:prstGeom prst="rect">
          <a:avLst/>
        </a:prstGeom>
        <a:noFill/>
        <a:ln>
          <a:noFill/>
        </a:ln>
        <a:extLst/>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226695</xdr:colOff>
      <xdr:row>10</xdr:row>
      <xdr:rowOff>203199</xdr:rowOff>
    </xdr:from>
    <xdr:to>
      <xdr:col>3</xdr:col>
      <xdr:colOff>1026148</xdr:colOff>
      <xdr:row>11</xdr:row>
      <xdr:rowOff>142874</xdr:rowOff>
    </xdr:to>
    <xdr:sp macro="" textlink="">
      <xdr:nvSpPr>
        <xdr:cNvPr id="1100" name="Text 27"/>
        <xdr:cNvSpPr txBox="1">
          <a:spLocks noChangeArrowheads="1"/>
        </xdr:cNvSpPr>
      </xdr:nvSpPr>
      <xdr:spPr bwMode="auto">
        <a:xfrm>
          <a:off x="854075" y="3365499"/>
          <a:ext cx="784225" cy="282575"/>
        </a:xfrm>
        <a:prstGeom prst="rect">
          <a:avLst/>
        </a:prstGeom>
        <a:noFill/>
        <a:ln>
          <a:noFill/>
        </a:ln>
        <a:effectLs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Einzel</a:t>
          </a:r>
          <a:endParaRPr lang="de-DE" sz="1050" b="0" i="0" u="none" strike="noStrike" baseline="0">
            <a:solidFill>
              <a:srgbClr val="000000"/>
            </a:solidFill>
            <a:latin typeface="Arial"/>
            <a:cs typeface="Arial"/>
          </a:endParaRPr>
        </a:p>
        <a:p>
          <a:pPr algn="l" rtl="0">
            <a:defRPr sz="1000"/>
          </a:pPr>
          <a:endParaRPr lang="de-DE" sz="800"/>
        </a:p>
      </xdr:txBody>
    </xdr:sp>
    <xdr:clientData/>
  </xdr:twoCellAnchor>
  <xdr:twoCellAnchor editAs="oneCell">
    <xdr:from>
      <xdr:col>25</xdr:col>
      <xdr:colOff>424392</xdr:colOff>
      <xdr:row>1</xdr:row>
      <xdr:rowOff>15665</xdr:rowOff>
    </xdr:from>
    <xdr:to>
      <xdr:col>28</xdr:col>
      <xdr:colOff>393700</xdr:colOff>
      <xdr:row>3</xdr:row>
      <xdr:rowOff>172858</xdr:rowOff>
    </xdr:to>
    <xdr:pic>
      <xdr:nvPicPr>
        <xdr:cNvPr id="12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11392" y="120440"/>
          <a:ext cx="1769533" cy="4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6</xdr:col>
          <xdr:colOff>28575</xdr:colOff>
          <xdr:row>21</xdr:row>
          <xdr:rowOff>228600</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6</xdr:col>
          <xdr:colOff>28575</xdr:colOff>
          <xdr:row>25</xdr:row>
          <xdr:rowOff>0</xdr:rowOff>
        </xdr:to>
        <xdr:sp macro="" textlink="">
          <xdr:nvSpPr>
            <xdr:cNvPr id="1059" name="Drop Down 35" hidden="1">
              <a:extLst>
                <a:ext uri="{63B3BB69-23CF-44E3-9099-C40C66FF867C}">
                  <a14:compatExt spid="_x0000_s105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6</xdr:col>
          <xdr:colOff>28575</xdr:colOff>
          <xdr:row>24</xdr:row>
          <xdr:rowOff>0</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6</xdr:col>
          <xdr:colOff>28575</xdr:colOff>
          <xdr:row>29</xdr:row>
          <xdr:rowOff>19050</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0</xdr:rowOff>
        </xdr:from>
        <xdr:to>
          <xdr:col>6</xdr:col>
          <xdr:colOff>28575</xdr:colOff>
          <xdr:row>32</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6</xdr:col>
          <xdr:colOff>28575</xdr:colOff>
          <xdr:row>31</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6</xdr:col>
          <xdr:colOff>0</xdr:colOff>
          <xdr:row>12</xdr:row>
          <xdr:rowOff>9525</xdr:rowOff>
        </xdr:to>
        <xdr:sp macro="" textlink="">
          <xdr:nvSpPr>
            <xdr:cNvPr id="1136" name="Group Box 112" hidden="1">
              <a:extLst>
                <a:ext uri="{63B3BB69-23CF-44E3-9099-C40C66FF867C}">
                  <a14:compatExt spid="_x0000_s1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4</xdr:col>
          <xdr:colOff>0</xdr:colOff>
          <xdr:row>12</xdr:row>
          <xdr:rowOff>9525</xdr:rowOff>
        </xdr:to>
        <xdr:sp macro="" textlink="">
          <xdr:nvSpPr>
            <xdr:cNvPr id="1137" name="Group Box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0</xdr:rowOff>
        </xdr:from>
        <xdr:to>
          <xdr:col>6</xdr:col>
          <xdr:colOff>28575</xdr:colOff>
          <xdr:row>30</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6</xdr:col>
          <xdr:colOff>9525</xdr:colOff>
          <xdr:row>6</xdr:row>
          <xdr:rowOff>9525</xdr:rowOff>
        </xdr:to>
        <xdr:sp macro="" textlink="">
          <xdr:nvSpPr>
            <xdr:cNvPr id="1151" name="Group Box 127" hidden="1">
              <a:extLst>
                <a:ext uri="{63B3BB69-23CF-44E3-9099-C40C66FF867C}">
                  <a14:compatExt spid="_x0000_s11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38100</xdr:rowOff>
        </xdr:from>
        <xdr:to>
          <xdr:col>11</xdr:col>
          <xdr:colOff>685800</xdr:colOff>
          <xdr:row>6</xdr:row>
          <xdr:rowOff>0</xdr:rowOff>
        </xdr:to>
        <xdr:sp macro="" textlink="">
          <xdr:nvSpPr>
            <xdr:cNvPr id="1193" name="Group Box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3</xdr:row>
          <xdr:rowOff>142875</xdr:rowOff>
        </xdr:from>
        <xdr:to>
          <xdr:col>7</xdr:col>
          <xdr:colOff>685800</xdr:colOff>
          <xdr:row>4</xdr:row>
          <xdr:rowOff>152400</xdr:rowOff>
        </xdr:to>
        <xdr:sp macro="" textlink="">
          <xdr:nvSpPr>
            <xdr:cNvPr id="1194" name="Option Button 170"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4</xdr:row>
          <xdr:rowOff>133350</xdr:rowOff>
        </xdr:from>
        <xdr:to>
          <xdr:col>7</xdr:col>
          <xdr:colOff>685800</xdr:colOff>
          <xdr:row>5</xdr:row>
          <xdr:rowOff>152400</xdr:rowOff>
        </xdr:to>
        <xdr:sp macro="" textlink="">
          <xdr:nvSpPr>
            <xdr:cNvPr id="1195" name="Option Button 171"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76200</xdr:rowOff>
        </xdr:from>
        <xdr:to>
          <xdr:col>3</xdr:col>
          <xdr:colOff>466725</xdr:colOff>
          <xdr:row>10</xdr:row>
          <xdr:rowOff>104775</xdr:rowOff>
        </xdr:to>
        <xdr:sp macro="" textlink="">
          <xdr:nvSpPr>
            <xdr:cNvPr id="1205" name="Option Butto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161925</xdr:rowOff>
        </xdr:from>
        <xdr:to>
          <xdr:col>3</xdr:col>
          <xdr:colOff>447675</xdr:colOff>
          <xdr:row>11</xdr:row>
          <xdr:rowOff>104775</xdr:rowOff>
        </xdr:to>
        <xdr:sp macro="" textlink="">
          <xdr:nvSpPr>
            <xdr:cNvPr id="1206" name="Option Butto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47625</xdr:rowOff>
        </xdr:from>
        <xdr:to>
          <xdr:col>5</xdr:col>
          <xdr:colOff>333375</xdr:colOff>
          <xdr:row>10</xdr:row>
          <xdr:rowOff>28575</xdr:rowOff>
        </xdr:to>
        <xdr:sp macro="" textlink="">
          <xdr:nvSpPr>
            <xdr:cNvPr id="5" name="Option Butto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47625</xdr:rowOff>
        </xdr:from>
        <xdr:to>
          <xdr:col>5</xdr:col>
          <xdr:colOff>333375</xdr:colOff>
          <xdr:row>11</xdr:row>
          <xdr:rowOff>0</xdr:rowOff>
        </xdr:to>
        <xdr:sp macro="" textlink="">
          <xdr:nvSpPr>
            <xdr:cNvPr id="6" name="Option Button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228600</xdr:rowOff>
        </xdr:from>
        <xdr:to>
          <xdr:col>5</xdr:col>
          <xdr:colOff>333375</xdr:colOff>
          <xdr:row>11</xdr:row>
          <xdr:rowOff>180975</xdr:rowOff>
        </xdr:to>
        <xdr:sp macro="" textlink="">
          <xdr:nvSpPr>
            <xdr:cNvPr id="7" name="Option Butto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19</xdr:col>
      <xdr:colOff>266700</xdr:colOff>
      <xdr:row>0</xdr:row>
      <xdr:rowOff>76200</xdr:rowOff>
    </xdr:from>
    <xdr:to>
      <xdr:col>22</xdr:col>
      <xdr:colOff>0</xdr:colOff>
      <xdr:row>2</xdr:row>
      <xdr:rowOff>15243</xdr:rowOff>
    </xdr:to>
    <xdr:pic>
      <xdr:nvPicPr>
        <xdr:cNvPr id="2110" name="Picture 67"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77525" y="76200"/>
          <a:ext cx="1790700" cy="41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3</xdr:row>
          <xdr:rowOff>38100</xdr:rowOff>
        </xdr:from>
        <xdr:to>
          <xdr:col>32</xdr:col>
          <xdr:colOff>28575</xdr:colOff>
          <xdr:row>3</xdr:row>
          <xdr:rowOff>295275</xdr:rowOff>
        </xdr:to>
        <xdr:sp macro="" textlink="">
          <xdr:nvSpPr>
            <xdr:cNvPr id="12289" name="Drop Down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16</xdr:row>
          <xdr:rowOff>57150</xdr:rowOff>
        </xdr:from>
        <xdr:to>
          <xdr:col>32</xdr:col>
          <xdr:colOff>0</xdr:colOff>
          <xdr:row>18</xdr:row>
          <xdr:rowOff>0</xdr:rowOff>
        </xdr:to>
        <xdr:sp macro="" textlink="">
          <xdr:nvSpPr>
            <xdr:cNvPr id="12291" name="Spinner 3" hidden="1">
              <a:extLst>
                <a:ext uri="{63B3BB69-23CF-44E3-9099-C40C66FF867C}">
                  <a14:compatExt spid="_x0000_s122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9525</xdr:rowOff>
        </xdr:from>
        <xdr:to>
          <xdr:col>32</xdr:col>
          <xdr:colOff>0</xdr:colOff>
          <xdr:row>12</xdr:row>
          <xdr:rowOff>9525</xdr:rowOff>
        </xdr:to>
        <xdr:sp macro="" textlink="">
          <xdr:nvSpPr>
            <xdr:cNvPr id="12299" name="Spinner 11" hidden="1">
              <a:extLst>
                <a:ext uri="{63B3BB69-23CF-44E3-9099-C40C66FF867C}">
                  <a14:compatExt spid="_x0000_s12299"/>
                </a:ext>
              </a:extLst>
            </xdr:cNvPr>
            <xdr:cNvSpPr/>
          </xdr:nvSpPr>
          <xdr:spPr>
            <a:xfrm>
              <a:off x="0" y="0"/>
              <a:ext cx="0" cy="0"/>
            </a:xfrm>
            <a:prstGeom prst="rect">
              <a:avLst/>
            </a:prstGeom>
          </xdr:spPr>
        </xdr:sp>
        <xdr:clientData fPrintsWithSheet="0"/>
      </xdr:twoCellAnchor>
    </mc:Choice>
    <mc:Fallback/>
  </mc:AlternateContent>
  <xdr:twoCellAnchor editAs="oneCell">
    <xdr:from>
      <xdr:col>29</xdr:col>
      <xdr:colOff>848592</xdr:colOff>
      <xdr:row>0</xdr:row>
      <xdr:rowOff>64226</xdr:rowOff>
    </xdr:from>
    <xdr:to>
      <xdr:col>30</xdr:col>
      <xdr:colOff>871057</xdr:colOff>
      <xdr:row>0</xdr:row>
      <xdr:rowOff>413461</xdr:rowOff>
    </xdr:to>
    <xdr:pic>
      <xdr:nvPicPr>
        <xdr:cNvPr id="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70524" y="64226"/>
          <a:ext cx="1048754"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685800</xdr:colOff>
          <xdr:row>13</xdr:row>
          <xdr:rowOff>9525</xdr:rowOff>
        </xdr:from>
        <xdr:to>
          <xdr:col>32</xdr:col>
          <xdr:colOff>0</xdr:colOff>
          <xdr:row>14</xdr:row>
          <xdr:rowOff>9525</xdr:rowOff>
        </xdr:to>
        <xdr:sp macro="" textlink="">
          <xdr:nvSpPr>
            <xdr:cNvPr id="12304" name="Spinner 16" hidden="1">
              <a:extLst>
                <a:ext uri="{63B3BB69-23CF-44E3-9099-C40C66FF867C}">
                  <a14:compatExt spid="_x0000_s12304"/>
                </a:ext>
              </a:extLst>
            </xdr:cNvPr>
            <xdr:cNvSpPr/>
          </xdr:nvSpPr>
          <xdr:spPr>
            <a:xfrm>
              <a:off x="0" y="0"/>
              <a:ext cx="0" cy="0"/>
            </a:xfrm>
            <a:prstGeom prst="rect">
              <a:avLst/>
            </a:prstGeom>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9525</xdr:colOff>
          <xdr:row>5</xdr:row>
          <xdr:rowOff>9525</xdr:rowOff>
        </xdr:from>
        <xdr:to>
          <xdr:col>32</xdr:col>
          <xdr:colOff>19050</xdr:colOff>
          <xdr:row>5</xdr:row>
          <xdr:rowOff>266700</xdr:rowOff>
        </xdr:to>
        <xdr:sp macro="" textlink="">
          <xdr:nvSpPr>
            <xdr:cNvPr id="12305" name="Drop Down 17" hidden="1">
              <a:extLst>
                <a:ext uri="{63B3BB69-23CF-44E3-9099-C40C66FF867C}">
                  <a14:compatExt spid="_x0000_s1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Lst>
            </xdr:cNvPr>
            <xdr:cNvSpPr/>
          </xdr:nvSpPr>
          <xdr:spPr>
            <a:xfrm>
              <a:off x="0" y="0"/>
              <a:ext cx="0" cy="0"/>
            </a:xfrm>
            <a:prstGeom prst="rect">
              <a:avLst/>
            </a:prstGeom>
          </xdr:spPr>
        </xdr:sp>
        <xdr:clientData fPrintsWithSheet="0"/>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Kraftfutter</a:t>
          </a: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27</xdr:col>
          <xdr:colOff>28575</xdr:colOff>
          <xdr:row>4</xdr:row>
          <xdr:rowOff>66675</xdr:rowOff>
        </xdr:to>
        <xdr:sp macro="" textlink="">
          <xdr:nvSpPr>
            <xdr:cNvPr id="9217" name="Drop Down 1" hidden="1">
              <a:extLst>
                <a:ext uri="{63B3BB69-23CF-44E3-9099-C40C66FF867C}">
                  <a14:compatExt spid="_x0000_s921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27</xdr:col>
          <xdr:colOff>28575</xdr:colOff>
          <xdr:row>7</xdr:row>
          <xdr:rowOff>47625</xdr:rowOff>
        </xdr:to>
        <xdr:sp macro="" textlink="">
          <xdr:nvSpPr>
            <xdr:cNvPr id="9218" name="Drop Down 2" hidden="1">
              <a:extLst>
                <a:ext uri="{63B3BB69-23CF-44E3-9099-C40C66FF867C}">
                  <a14:compatExt spid="_x0000_s921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27</xdr:col>
          <xdr:colOff>28575</xdr:colOff>
          <xdr:row>8</xdr:row>
          <xdr:rowOff>47625</xdr:rowOff>
        </xdr:to>
        <xdr:sp macro="" textlink="">
          <xdr:nvSpPr>
            <xdr:cNvPr id="9219" name="Drop Down 3" hidden="1">
              <a:extLst>
                <a:ext uri="{63B3BB69-23CF-44E3-9099-C40C66FF867C}">
                  <a14:compatExt spid="_x0000_s921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27</xdr:col>
          <xdr:colOff>28575</xdr:colOff>
          <xdr:row>9</xdr:row>
          <xdr:rowOff>47625</xdr:rowOff>
        </xdr:to>
        <xdr:sp macro="" textlink="">
          <xdr:nvSpPr>
            <xdr:cNvPr id="9220" name="Drop Down 4" hidden="1">
              <a:extLst>
                <a:ext uri="{63B3BB69-23CF-44E3-9099-C40C66FF867C}">
                  <a14:compatExt spid="_x0000_s922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27</xdr:col>
          <xdr:colOff>28575</xdr:colOff>
          <xdr:row>10</xdr:row>
          <xdr:rowOff>47625</xdr:rowOff>
        </xdr:to>
        <xdr:sp macro="" textlink="">
          <xdr:nvSpPr>
            <xdr:cNvPr id="9221" name="Drop Down 5" hidden="1">
              <a:extLst>
                <a:ext uri="{63B3BB69-23CF-44E3-9099-C40C66FF867C}">
                  <a14:compatExt spid="_x0000_s922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27</xdr:col>
          <xdr:colOff>28575</xdr:colOff>
          <xdr:row>11</xdr:row>
          <xdr:rowOff>47625</xdr:rowOff>
        </xdr:to>
        <xdr:sp macro="" textlink="">
          <xdr:nvSpPr>
            <xdr:cNvPr id="9222" name="Drop Down 6" hidden="1">
              <a:extLst>
                <a:ext uri="{63B3BB69-23CF-44E3-9099-C40C66FF867C}">
                  <a14:compatExt spid="_x0000_s922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27</xdr:col>
          <xdr:colOff>28575</xdr:colOff>
          <xdr:row>12</xdr:row>
          <xdr:rowOff>47625</xdr:rowOff>
        </xdr:to>
        <xdr:sp macro="" textlink="">
          <xdr:nvSpPr>
            <xdr:cNvPr id="9223" name="Drop Down 7" hidden="1">
              <a:extLst>
                <a:ext uri="{63B3BB69-23CF-44E3-9099-C40C66FF867C}">
                  <a14:compatExt spid="_x0000_s922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27</xdr:col>
          <xdr:colOff>28575</xdr:colOff>
          <xdr:row>13</xdr:row>
          <xdr:rowOff>47625</xdr:rowOff>
        </xdr:to>
        <xdr:sp macro="" textlink="">
          <xdr:nvSpPr>
            <xdr:cNvPr id="9224" name="Drop Down 8" hidden="1">
              <a:extLst>
                <a:ext uri="{63B3BB69-23CF-44E3-9099-C40C66FF867C}">
                  <a14:compatExt spid="_x0000_s922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27</xdr:col>
          <xdr:colOff>28575</xdr:colOff>
          <xdr:row>14</xdr:row>
          <xdr:rowOff>47625</xdr:rowOff>
        </xdr:to>
        <xdr:sp macro="" textlink="">
          <xdr:nvSpPr>
            <xdr:cNvPr id="9225" name="Drop Down 9" hidden="1">
              <a:extLst>
                <a:ext uri="{63B3BB69-23CF-44E3-9099-C40C66FF867C}">
                  <a14:compatExt spid="_x0000_s922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27</xdr:col>
          <xdr:colOff>28575</xdr:colOff>
          <xdr:row>15</xdr:row>
          <xdr:rowOff>47625</xdr:rowOff>
        </xdr:to>
        <xdr:sp macro="" textlink="">
          <xdr:nvSpPr>
            <xdr:cNvPr id="9226" name="Drop Down 10" hidden="1">
              <a:extLst>
                <a:ext uri="{63B3BB69-23CF-44E3-9099-C40C66FF867C}">
                  <a14:compatExt spid="_x0000_s922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27</xdr:col>
          <xdr:colOff>28575</xdr:colOff>
          <xdr:row>16</xdr:row>
          <xdr:rowOff>47625</xdr:rowOff>
        </xdr:to>
        <xdr:sp macro="" textlink="">
          <xdr:nvSpPr>
            <xdr:cNvPr id="9227" name="Drop Down 11" hidden="1">
              <a:extLst>
                <a:ext uri="{63B3BB69-23CF-44E3-9099-C40C66FF867C}">
                  <a14:compatExt spid="_x0000_s922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27</xdr:col>
          <xdr:colOff>28575</xdr:colOff>
          <xdr:row>17</xdr:row>
          <xdr:rowOff>47625</xdr:rowOff>
        </xdr:to>
        <xdr:sp macro="" textlink="">
          <xdr:nvSpPr>
            <xdr:cNvPr id="9228" name="Drop Down 12" hidden="1">
              <a:extLst>
                <a:ext uri="{63B3BB69-23CF-44E3-9099-C40C66FF867C}">
                  <a14:compatExt spid="_x0000_s922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27</xdr:col>
          <xdr:colOff>28575</xdr:colOff>
          <xdr:row>18</xdr:row>
          <xdr:rowOff>47625</xdr:rowOff>
        </xdr:to>
        <xdr:sp macro="" textlink="">
          <xdr:nvSpPr>
            <xdr:cNvPr id="9229" name="Drop Down 13" hidden="1">
              <a:extLst>
                <a:ext uri="{63B3BB69-23CF-44E3-9099-C40C66FF867C}">
                  <a14:compatExt spid="_x0000_s922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27</xdr:col>
          <xdr:colOff>28575</xdr:colOff>
          <xdr:row>18</xdr:row>
          <xdr:rowOff>47625</xdr:rowOff>
        </xdr:to>
        <xdr:sp macro="" textlink="">
          <xdr:nvSpPr>
            <xdr:cNvPr id="9230" name="Drop Down 14" hidden="1">
              <a:extLst>
                <a:ext uri="{63B3BB69-23CF-44E3-9099-C40C66FF867C}">
                  <a14:compatExt spid="_x0000_s923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27</xdr:col>
          <xdr:colOff>28575</xdr:colOff>
          <xdr:row>19</xdr:row>
          <xdr:rowOff>47625</xdr:rowOff>
        </xdr:to>
        <xdr:sp macro="" textlink="">
          <xdr:nvSpPr>
            <xdr:cNvPr id="9231" name="Drop Down 15" hidden="1">
              <a:extLst>
                <a:ext uri="{63B3BB69-23CF-44E3-9099-C40C66FF867C}">
                  <a14:compatExt spid="_x0000_s923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27</xdr:col>
          <xdr:colOff>28575</xdr:colOff>
          <xdr:row>19</xdr:row>
          <xdr:rowOff>47625</xdr:rowOff>
        </xdr:to>
        <xdr:sp macro="" textlink="">
          <xdr:nvSpPr>
            <xdr:cNvPr id="9232" name="Drop Down 16" hidden="1">
              <a:extLst>
                <a:ext uri="{63B3BB69-23CF-44E3-9099-C40C66FF867C}">
                  <a14:compatExt spid="_x0000_s923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27</xdr:col>
          <xdr:colOff>28575</xdr:colOff>
          <xdr:row>20</xdr:row>
          <xdr:rowOff>47625</xdr:rowOff>
        </xdr:to>
        <xdr:sp macro="" textlink="">
          <xdr:nvSpPr>
            <xdr:cNvPr id="9233" name="Drop Down 17" hidden="1">
              <a:extLst>
                <a:ext uri="{63B3BB69-23CF-44E3-9099-C40C66FF867C}">
                  <a14:compatExt spid="_x0000_s923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27</xdr:col>
          <xdr:colOff>28575</xdr:colOff>
          <xdr:row>20</xdr:row>
          <xdr:rowOff>47625</xdr:rowOff>
        </xdr:to>
        <xdr:sp macro="" textlink="">
          <xdr:nvSpPr>
            <xdr:cNvPr id="9234" name="Drop Down 18" hidden="1">
              <a:extLst>
                <a:ext uri="{63B3BB69-23CF-44E3-9099-C40C66FF867C}">
                  <a14:compatExt spid="_x0000_s923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27</xdr:col>
          <xdr:colOff>28575</xdr:colOff>
          <xdr:row>21</xdr:row>
          <xdr:rowOff>47625</xdr:rowOff>
        </xdr:to>
        <xdr:sp macro="" textlink="">
          <xdr:nvSpPr>
            <xdr:cNvPr id="9235" name="Drop Down 19" hidden="1">
              <a:extLst>
                <a:ext uri="{63B3BB69-23CF-44E3-9099-C40C66FF867C}">
                  <a14:compatExt spid="_x0000_s923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27</xdr:col>
          <xdr:colOff>28575</xdr:colOff>
          <xdr:row>21</xdr:row>
          <xdr:rowOff>47625</xdr:rowOff>
        </xdr:to>
        <xdr:sp macro="" textlink="">
          <xdr:nvSpPr>
            <xdr:cNvPr id="9236" name="Drop Down 20" hidden="1">
              <a:extLst>
                <a:ext uri="{63B3BB69-23CF-44E3-9099-C40C66FF867C}">
                  <a14:compatExt spid="_x0000_s923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27</xdr:col>
          <xdr:colOff>28575</xdr:colOff>
          <xdr:row>22</xdr:row>
          <xdr:rowOff>47625</xdr:rowOff>
        </xdr:to>
        <xdr:sp macro="" textlink="">
          <xdr:nvSpPr>
            <xdr:cNvPr id="9237" name="Drop Down 21" hidden="1">
              <a:extLst>
                <a:ext uri="{63B3BB69-23CF-44E3-9099-C40C66FF867C}">
                  <a14:compatExt spid="_x0000_s923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27</xdr:col>
          <xdr:colOff>28575</xdr:colOff>
          <xdr:row>22</xdr:row>
          <xdr:rowOff>47625</xdr:rowOff>
        </xdr:to>
        <xdr:sp macro="" textlink="">
          <xdr:nvSpPr>
            <xdr:cNvPr id="9238" name="Drop Down 22" hidden="1">
              <a:extLst>
                <a:ext uri="{63B3BB69-23CF-44E3-9099-C40C66FF867C}">
                  <a14:compatExt spid="_x0000_s923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27</xdr:col>
          <xdr:colOff>28575</xdr:colOff>
          <xdr:row>5</xdr:row>
          <xdr:rowOff>47625</xdr:rowOff>
        </xdr:to>
        <xdr:sp macro="" textlink="">
          <xdr:nvSpPr>
            <xdr:cNvPr id="9240" name="Drop Down 24" hidden="1">
              <a:extLst>
                <a:ext uri="{63B3BB69-23CF-44E3-9099-C40C66FF867C}">
                  <a14:compatExt spid="_x0000_s924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27</xdr:col>
          <xdr:colOff>28575</xdr:colOff>
          <xdr:row>6</xdr:row>
          <xdr:rowOff>47625</xdr:rowOff>
        </xdr:to>
        <xdr:sp macro="" textlink="">
          <xdr:nvSpPr>
            <xdr:cNvPr id="9241" name="Drop Down 25" hidden="1">
              <a:extLst>
                <a:ext uri="{63B3BB69-23CF-44E3-9099-C40C66FF867C}">
                  <a14:compatExt spid="_x0000_s92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27</xdr:col>
          <xdr:colOff>28575</xdr:colOff>
          <xdr:row>22</xdr:row>
          <xdr:rowOff>47625</xdr:rowOff>
        </xdr:to>
        <xdr:sp macro="" textlink="">
          <xdr:nvSpPr>
            <xdr:cNvPr id="9242" name="Drop Down 26" hidden="1">
              <a:extLst>
                <a:ext uri="{63B3BB69-23CF-44E3-9099-C40C66FF867C}">
                  <a14:compatExt spid="_x0000_s92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27</xdr:col>
          <xdr:colOff>28575</xdr:colOff>
          <xdr:row>22</xdr:row>
          <xdr:rowOff>47625</xdr:rowOff>
        </xdr:to>
        <xdr:sp macro="" textlink="">
          <xdr:nvSpPr>
            <xdr:cNvPr id="9243" name="Drop Down 27" hidden="1">
              <a:extLst>
                <a:ext uri="{63B3BB69-23CF-44E3-9099-C40C66FF867C}">
                  <a14:compatExt spid="_x0000_s924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27</xdr:col>
          <xdr:colOff>28575</xdr:colOff>
          <xdr:row>23</xdr:row>
          <xdr:rowOff>47625</xdr:rowOff>
        </xdr:to>
        <xdr:sp macro="" textlink="">
          <xdr:nvSpPr>
            <xdr:cNvPr id="9244" name="Drop Down 28" hidden="1">
              <a:extLst>
                <a:ext uri="{63B3BB69-23CF-44E3-9099-C40C66FF867C}">
                  <a14:compatExt spid="_x0000_s924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27</xdr:col>
          <xdr:colOff>28575</xdr:colOff>
          <xdr:row>23</xdr:row>
          <xdr:rowOff>47625</xdr:rowOff>
        </xdr:to>
        <xdr:sp macro="" textlink="">
          <xdr:nvSpPr>
            <xdr:cNvPr id="9245" name="Drop Down 29" hidden="1">
              <a:extLst>
                <a:ext uri="{63B3BB69-23CF-44E3-9099-C40C66FF867C}">
                  <a14:compatExt spid="_x0000_s9245"/>
                </a:ext>
              </a:extLst>
            </xdr:cNvPr>
            <xdr:cNvSpPr/>
          </xdr:nvSpPr>
          <xdr:spPr>
            <a:xfrm>
              <a:off x="0" y="0"/>
              <a:ext cx="0" cy="0"/>
            </a:xfrm>
            <a:prstGeom prst="rect">
              <a:avLst/>
            </a:prstGeom>
          </xdr:spPr>
        </xdr:sp>
        <xdr:clientData fLocksWithSheet="0" fPrintsWithSheet="0"/>
      </xdr:twoCellAnchor>
    </mc:Choice>
    <mc:Fallback/>
  </mc:AlternateContent>
  <xdr:twoCellAnchor editAs="oneCell">
    <xdr:from>
      <xdr:col>55</xdr:col>
      <xdr:colOff>419100</xdr:colOff>
      <xdr:row>0</xdr:row>
      <xdr:rowOff>35477</xdr:rowOff>
    </xdr:from>
    <xdr:to>
      <xdr:col>57</xdr:col>
      <xdr:colOff>618406</xdr:colOff>
      <xdr:row>0</xdr:row>
      <xdr:rowOff>391757</xdr:rowOff>
    </xdr:to>
    <xdr:pic>
      <xdr:nvPicPr>
        <xdr:cNvPr id="32"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45825" y="35477"/>
          <a:ext cx="1494706" cy="35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19050</xdr:colOff>
          <xdr:row>5</xdr:row>
          <xdr:rowOff>0</xdr:rowOff>
        </xdr:to>
        <xdr:sp macro="" textlink="">
          <xdr:nvSpPr>
            <xdr:cNvPr id="18436" name="Group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228600</xdr:rowOff>
        </xdr:from>
        <xdr:to>
          <xdr:col>3</xdr:col>
          <xdr:colOff>19050</xdr:colOff>
          <xdr:row>4</xdr:row>
          <xdr:rowOff>219075</xdr:rowOff>
        </xdr:to>
        <xdr:sp macro="" textlink="">
          <xdr:nvSpPr>
            <xdr:cNvPr id="18438" name="Option Butto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xdr:row>
          <xdr:rowOff>0</xdr:rowOff>
        </xdr:from>
        <xdr:to>
          <xdr:col>14</xdr:col>
          <xdr:colOff>0</xdr:colOff>
          <xdr:row>5</xdr:row>
          <xdr:rowOff>19050</xdr:rowOff>
        </xdr:to>
        <xdr:sp macro="" textlink="">
          <xdr:nvSpPr>
            <xdr:cNvPr id="18439" name="Group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6</xdr:col>
          <xdr:colOff>0</xdr:colOff>
          <xdr:row>9</xdr:row>
          <xdr:rowOff>257175</xdr:rowOff>
        </xdr:to>
        <xdr:sp macro="" textlink="">
          <xdr:nvSpPr>
            <xdr:cNvPr id="18446" name="Drop Down 14" hidden="1">
              <a:extLst>
                <a:ext uri="{63B3BB69-23CF-44E3-9099-C40C66FF867C}">
                  <a14:compatExt spid="_x0000_s1844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6</xdr:col>
          <xdr:colOff>9525</xdr:colOff>
          <xdr:row>11</xdr:row>
          <xdr:rowOff>9525</xdr:rowOff>
        </xdr:to>
        <xdr:sp macro="" textlink="">
          <xdr:nvSpPr>
            <xdr:cNvPr id="18447" name="Drop Down 15" hidden="1">
              <a:extLst>
                <a:ext uri="{63B3BB69-23CF-44E3-9099-C40C66FF867C}">
                  <a14:compatExt spid="_x0000_s1844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6</xdr:col>
          <xdr:colOff>0</xdr:colOff>
          <xdr:row>12</xdr:row>
          <xdr:rowOff>0</xdr:rowOff>
        </xdr:to>
        <xdr:sp macro="" textlink="">
          <xdr:nvSpPr>
            <xdr:cNvPr id="18448" name="Drop Down 16" hidden="1">
              <a:extLst>
                <a:ext uri="{63B3BB69-23CF-44E3-9099-C40C66FF867C}">
                  <a14:compatExt spid="_x0000_s184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19050</xdr:rowOff>
        </xdr:from>
        <xdr:to>
          <xdr:col>6</xdr:col>
          <xdr:colOff>9525</xdr:colOff>
          <xdr:row>12</xdr:row>
          <xdr:rowOff>238125</xdr:rowOff>
        </xdr:to>
        <xdr:sp macro="" textlink="">
          <xdr:nvSpPr>
            <xdr:cNvPr id="18449" name="Drop Down 17" hidden="1">
              <a:extLst>
                <a:ext uri="{63B3BB69-23CF-44E3-9099-C40C66FF867C}">
                  <a14:compatExt spid="_x0000_s184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6</xdr:col>
          <xdr:colOff>0</xdr:colOff>
          <xdr:row>14</xdr:row>
          <xdr:rowOff>0</xdr:rowOff>
        </xdr:to>
        <xdr:sp macro="" textlink="">
          <xdr:nvSpPr>
            <xdr:cNvPr id="18450" name="Drop Down 18" hidden="1">
              <a:extLst>
                <a:ext uri="{63B3BB69-23CF-44E3-9099-C40C66FF867C}">
                  <a14:compatExt spid="_x0000_s184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18451" name="Drop Down 19" hidden="1">
              <a:extLst>
                <a:ext uri="{63B3BB69-23CF-44E3-9099-C40C66FF867C}">
                  <a14:compatExt spid="_x0000_s1845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266700</xdr:rowOff>
        </xdr:from>
        <xdr:to>
          <xdr:col>6</xdr:col>
          <xdr:colOff>9525</xdr:colOff>
          <xdr:row>18</xdr:row>
          <xdr:rowOff>209550</xdr:rowOff>
        </xdr:to>
        <xdr:sp macro="" textlink="">
          <xdr:nvSpPr>
            <xdr:cNvPr id="18458" name="Drop Down 26" hidden="1">
              <a:extLst>
                <a:ext uri="{63B3BB69-23CF-44E3-9099-C40C66FF867C}">
                  <a14:compatExt spid="_x0000_s1845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38100</xdr:rowOff>
        </xdr:from>
        <xdr:to>
          <xdr:col>6</xdr:col>
          <xdr:colOff>0</xdr:colOff>
          <xdr:row>20</xdr:row>
          <xdr:rowOff>0</xdr:rowOff>
        </xdr:to>
        <xdr:sp macro="" textlink="">
          <xdr:nvSpPr>
            <xdr:cNvPr id="18459" name="Drop Down 27" hidden="1">
              <a:extLst>
                <a:ext uri="{63B3BB69-23CF-44E3-9099-C40C66FF867C}">
                  <a14:compatExt spid="_x0000_s1845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57150</xdr:rowOff>
        </xdr:from>
        <xdr:to>
          <xdr:col>6</xdr:col>
          <xdr:colOff>0</xdr:colOff>
          <xdr:row>19</xdr:row>
          <xdr:rowOff>28575</xdr:rowOff>
        </xdr:to>
        <xdr:sp macro="" textlink="">
          <xdr:nvSpPr>
            <xdr:cNvPr id="18460" name="Drop Down 28" hidden="1">
              <a:extLst>
                <a:ext uri="{63B3BB69-23CF-44E3-9099-C40C66FF867C}">
                  <a14:compatExt spid="_x0000_s1846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38100</xdr:rowOff>
        </xdr:from>
        <xdr:to>
          <xdr:col>6</xdr:col>
          <xdr:colOff>0</xdr:colOff>
          <xdr:row>18</xdr:row>
          <xdr:rowOff>28575</xdr:rowOff>
        </xdr:to>
        <xdr:sp macro="" textlink="">
          <xdr:nvSpPr>
            <xdr:cNvPr id="18461" name="Drop Down 29" hidden="1">
              <a:extLst>
                <a:ext uri="{63B3BB69-23CF-44E3-9099-C40C66FF867C}">
                  <a14:compatExt spid="_x0000_s1846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409575</xdr:colOff>
          <xdr:row>4</xdr:row>
          <xdr:rowOff>19050</xdr:rowOff>
        </xdr:from>
        <xdr:to>
          <xdr:col>21</xdr:col>
          <xdr:colOff>0</xdr:colOff>
          <xdr:row>5</xdr:row>
          <xdr:rowOff>9525</xdr:rowOff>
        </xdr:to>
        <xdr:sp macro="" textlink="">
          <xdr:nvSpPr>
            <xdr:cNvPr id="18462" name="Spinner 30" hidden="1">
              <a:extLst>
                <a:ext uri="{63B3BB69-23CF-44E3-9099-C40C66FF867C}">
                  <a14:compatExt spid="_x0000_s184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Lst>
            </xdr:cNvPr>
            <xdr:cNvSpPr/>
          </xdr:nvSpPr>
          <xdr:spPr>
            <a:xfrm>
              <a:off x="0" y="0"/>
              <a:ext cx="0" cy="0"/>
            </a:xfrm>
            <a:prstGeom prst="rect">
              <a:avLst/>
            </a:prstGeom>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409575</xdr:colOff>
          <xdr:row>3</xdr:row>
          <xdr:rowOff>0</xdr:rowOff>
        </xdr:from>
        <xdr:to>
          <xdr:col>21</xdr:col>
          <xdr:colOff>9525</xdr:colOff>
          <xdr:row>4</xdr:row>
          <xdr:rowOff>19050</xdr:rowOff>
        </xdr:to>
        <xdr:sp macro="" textlink="">
          <xdr:nvSpPr>
            <xdr:cNvPr id="18464" name="Spinner 32" hidden="1">
              <a:extLst>
                <a:ext uri="{63B3BB69-23CF-44E3-9099-C40C66FF867C}">
                  <a14:compatExt spid="_x0000_s18464"/>
                </a:ext>
              </a:extLst>
            </xdr:cNvPr>
            <xdr:cNvSpPr/>
          </xdr:nvSpPr>
          <xdr:spPr>
            <a:xfrm>
              <a:off x="0" y="0"/>
              <a:ext cx="0" cy="0"/>
            </a:xfrm>
            <a:prstGeom prst="rect">
              <a:avLst/>
            </a:prstGeom>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drawing" Target="../drawings/drawing9.xml"/><Relationship Id="rId21" Type="http://schemas.openxmlformats.org/officeDocument/2006/relationships/ctrlProp" Target="../ctrlProps/ctrlProp96.xml"/><Relationship Id="rId7" Type="http://schemas.openxmlformats.org/officeDocument/2006/relationships/ctrlProp" Target="../ctrlProps/ctrlProp82.x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2" Type="http://schemas.openxmlformats.org/officeDocument/2006/relationships/printerSettings" Target="../printerSettings/printerSettings16.bin"/><Relationship Id="rId16" Type="http://schemas.openxmlformats.org/officeDocument/2006/relationships/ctrlProp" Target="../ctrlProps/ctrlProp91.xml"/><Relationship Id="rId20" Type="http://schemas.openxmlformats.org/officeDocument/2006/relationships/ctrlProp" Target="../ctrlProps/ctrlProp95.xml"/><Relationship Id="rId1" Type="http://schemas.openxmlformats.org/officeDocument/2006/relationships/printerSettings" Target="../printerSettings/printerSettings15.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10" Type="http://schemas.openxmlformats.org/officeDocument/2006/relationships/ctrlProp" Target="../ctrlProps/ctrlProp85.xml"/><Relationship Id="rId19" Type="http://schemas.openxmlformats.org/officeDocument/2006/relationships/ctrlProp" Target="../ctrlProps/ctrlProp94.xml"/><Relationship Id="rId4" Type="http://schemas.openxmlformats.org/officeDocument/2006/relationships/vmlDrawing" Target="../drawings/vmlDrawing8.v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drawing" Target="../drawings/drawing4.x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printerSettings" Target="../printerSettings/printerSettings8.bin"/><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omments" Target="../comments2.xml"/><Relationship Id="rId4" Type="http://schemas.openxmlformats.org/officeDocument/2006/relationships/vmlDrawing" Target="../drawings/vmlDrawing4.v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drawing" Target="../drawings/drawing6.xml"/><Relationship Id="rId7" Type="http://schemas.openxmlformats.org/officeDocument/2006/relationships/ctrlProp" Target="../ctrlProps/ctrlProp4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vmlDrawing" Target="../drawings/vmlDrawing6.vml"/><Relationship Id="rId9" Type="http://schemas.openxmlformats.org/officeDocument/2006/relationships/ctrlProp" Target="../ctrlProps/ctrlProp4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drawing" Target="../drawings/drawing8.x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printerSettings" Target="../printerSettings/printerSettings14.bin"/><Relationship Id="rId16" Type="http://schemas.openxmlformats.org/officeDocument/2006/relationships/ctrlProp" Target="../ctrlProps/ctrlProp63.xml"/><Relationship Id="rId20" Type="http://schemas.openxmlformats.org/officeDocument/2006/relationships/ctrlProp" Target="../ctrlProps/ctrlProp67.xml"/><Relationship Id="rId29" Type="http://schemas.openxmlformats.org/officeDocument/2006/relationships/ctrlProp" Target="../ctrlProps/ctrlProp76.xml"/><Relationship Id="rId1" Type="http://schemas.openxmlformats.org/officeDocument/2006/relationships/printerSettings" Target="../printerSettings/printerSettings13.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31" Type="http://schemas.openxmlformats.org/officeDocument/2006/relationships/ctrlProp" Target="../ctrlProps/ctrlProp78.xml"/><Relationship Id="rId4" Type="http://schemas.openxmlformats.org/officeDocument/2006/relationships/vmlDrawing" Target="../drawings/vmlDrawing7.v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26"/>
  <sheetViews>
    <sheetView showGridLines="0" showRowColHeaders="0" tabSelected="1" topLeftCell="B2" workbookViewId="0">
      <selection activeCell="B5" sqref="B5"/>
    </sheetView>
  </sheetViews>
  <sheetFormatPr baseColWidth="10" defaultColWidth="0" defaultRowHeight="12.75" zeroHeight="1" x14ac:dyDescent="0.2"/>
  <cols>
    <col min="1" max="1" width="11.42578125" style="1246" customWidth="1"/>
    <col min="2" max="2" width="234.7109375" style="1287" customWidth="1"/>
    <col min="3" max="16384" width="11.42578125" style="1246" hidden="1"/>
  </cols>
  <sheetData>
    <row r="1" spans="2:2" hidden="1" x14ac:dyDescent="0.2"/>
    <row r="2" spans="2:2" x14ac:dyDescent="0.2"/>
    <row r="3" spans="2:2" x14ac:dyDescent="0.2"/>
    <row r="4" spans="2:2" ht="59.25" x14ac:dyDescent="0.2">
      <c r="B4" s="1286" t="s">
        <v>456</v>
      </c>
    </row>
    <row r="5" spans="2:2" ht="285" customHeight="1" x14ac:dyDescent="0.2"/>
    <row r="6" spans="2:2" ht="57.75" customHeight="1" x14ac:dyDescent="0.2">
      <c r="B6" s="1288" t="s">
        <v>446</v>
      </c>
    </row>
    <row r="7" spans="2:2" ht="23.25" x14ac:dyDescent="0.2">
      <c r="B7" s="1288" t="s">
        <v>447</v>
      </c>
    </row>
    <row r="8" spans="2:2" ht="23.25" x14ac:dyDescent="0.2">
      <c r="B8" s="1288" t="s">
        <v>448</v>
      </c>
    </row>
    <row r="9" spans="2:2" ht="18" x14ac:dyDescent="0.2">
      <c r="B9" s="1289"/>
    </row>
    <row r="10" spans="2:2" x14ac:dyDescent="0.2"/>
    <row r="11" spans="2:2" x14ac:dyDescent="0.2"/>
    <row r="12" spans="2:2" x14ac:dyDescent="0.2"/>
    <row r="13" spans="2:2" x14ac:dyDescent="0.2"/>
    <row r="14" spans="2:2" x14ac:dyDescent="0.2"/>
    <row r="15" spans="2:2" x14ac:dyDescent="0.2"/>
    <row r="16" spans="2:2" x14ac:dyDescent="0.2"/>
    <row r="17" x14ac:dyDescent="0.2"/>
    <row r="18" x14ac:dyDescent="0.2"/>
    <row r="19" x14ac:dyDescent="0.2"/>
    <row r="20" x14ac:dyDescent="0.2"/>
    <row r="21" x14ac:dyDescent="0.2"/>
    <row r="22" x14ac:dyDescent="0.2"/>
    <row r="23" x14ac:dyDescent="0.2"/>
    <row r="24" x14ac:dyDescent="0.2"/>
    <row r="25" x14ac:dyDescent="0.2"/>
    <row r="26" x14ac:dyDescent="0.2"/>
  </sheetData>
  <sheetProtection password="ECA3" sheet="1" objects="1" scenarios="1" selectLockedCells="1"/>
  <customSheetViews>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F0"/>
    <pageSetUpPr fitToPage="1"/>
  </sheetPr>
  <dimension ref="A1:CR182"/>
  <sheetViews>
    <sheetView showGridLines="0" showRowColHeaders="0" zoomScale="90" zoomScaleNormal="90" workbookViewId="0">
      <selection activeCell="B5" sqref="B5"/>
    </sheetView>
  </sheetViews>
  <sheetFormatPr baseColWidth="10" defaultColWidth="0" defaultRowHeight="12" zeroHeight="1" x14ac:dyDescent="0.2"/>
  <cols>
    <col min="1" max="1" width="1.85546875" style="772" customWidth="1"/>
    <col min="2" max="2" width="6.5703125" style="692" customWidth="1"/>
    <col min="3" max="3" width="6.7109375" style="863" hidden="1" customWidth="1"/>
    <col min="4" max="4" width="14.42578125" style="692" customWidth="1"/>
    <col min="5" max="5" width="10.7109375" style="692" customWidth="1"/>
    <col min="6" max="6" width="11.42578125" style="692" customWidth="1"/>
    <col min="7" max="17" width="8.5703125" style="692" customWidth="1"/>
    <col min="18" max="18" width="7.85546875" style="692" customWidth="1"/>
    <col min="19" max="19" width="7" style="692" hidden="1" customWidth="1"/>
    <col min="20" max="20" width="7.42578125" style="692" bestFit="1" customWidth="1"/>
    <col min="21" max="31" width="9.140625" style="692" customWidth="1"/>
    <col min="32" max="32" width="6.85546875" style="692" bestFit="1" customWidth="1"/>
    <col min="33" max="33" width="6.85546875" style="692" hidden="1" customWidth="1"/>
    <col min="34" max="34" width="1.28515625" style="692" customWidth="1"/>
    <col min="35" max="35" width="7.85546875" style="692" hidden="1" customWidth="1"/>
    <col min="36" max="36" width="8.5703125" style="692" hidden="1" customWidth="1"/>
    <col min="37" max="37" width="6.7109375" style="692" hidden="1" customWidth="1"/>
    <col min="38" max="38" width="14.42578125" style="692" hidden="1" customWidth="1"/>
    <col min="39" max="44" width="12" style="692" hidden="1" customWidth="1"/>
    <col min="45" max="45" width="8.5703125" style="692" hidden="1" customWidth="1"/>
    <col min="46" max="46" width="12" style="692" hidden="1" customWidth="1"/>
    <col min="47" max="47" width="4.42578125" style="692" hidden="1" customWidth="1"/>
    <col min="48" max="48" width="5" style="692" hidden="1" customWidth="1"/>
    <col min="49" max="50" width="5.42578125" style="692" hidden="1" customWidth="1"/>
    <col min="51" max="64" width="6" style="692" hidden="1" customWidth="1"/>
    <col min="65" max="65" width="4" style="692" hidden="1" customWidth="1"/>
    <col min="66" max="72" width="5.42578125" style="692" hidden="1" customWidth="1"/>
    <col min="73" max="73" width="6.5703125" style="692" hidden="1" customWidth="1"/>
    <col min="74" max="78" width="5.42578125" style="692" hidden="1" customWidth="1"/>
    <col min="79" max="80" width="12" style="692" hidden="1" customWidth="1"/>
    <col min="81" max="82" width="0" style="692" hidden="1" customWidth="1"/>
    <col min="83" max="91" width="0" style="772" hidden="1" customWidth="1"/>
    <col min="92" max="96" width="0" style="692" hidden="1" customWidth="1"/>
    <col min="97" max="16384" width="11.42578125" style="692" hidden="1"/>
  </cols>
  <sheetData>
    <row r="1" spans="1:96" s="772" customFormat="1" ht="16.5" thickTop="1" x14ac:dyDescent="0.25">
      <c r="A1" s="1217" t="str">
        <f>IF(G4=1, "Rationsberechnung für die Bullenmast","Rationsberechnung für die Rinderaufzucht")</f>
        <v>Rationsberechnung für die Rinderaufzucht</v>
      </c>
      <c r="B1" s="1218"/>
      <c r="C1" s="1219"/>
      <c r="D1" s="1218"/>
      <c r="E1" s="1220"/>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21"/>
    </row>
    <row r="2" spans="1:96" s="772" customFormat="1" ht="12.75" thickBot="1" x14ac:dyDescent="0.25">
      <c r="A2" s="1222"/>
      <c r="B2" s="1223"/>
      <c r="C2" s="1224"/>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5"/>
    </row>
    <row r="3" spans="1:96" ht="18.75" customHeight="1" x14ac:dyDescent="0.2">
      <c r="A3" s="1222"/>
      <c r="B3" s="693" t="s">
        <v>165</v>
      </c>
      <c r="C3" s="1226"/>
      <c r="D3" s="694"/>
      <c r="E3" s="695"/>
      <c r="F3" s="1223"/>
      <c r="G3" s="696">
        <v>1</v>
      </c>
      <c r="H3" s="697" t="s">
        <v>286</v>
      </c>
      <c r="I3" s="698"/>
      <c r="J3" s="1223"/>
      <c r="K3" s="699"/>
      <c r="L3" s="759" t="s">
        <v>289</v>
      </c>
      <c r="M3" s="697"/>
      <c r="N3" s="698"/>
      <c r="O3" s="1223"/>
      <c r="P3" s="1223"/>
      <c r="Q3" s="1223"/>
      <c r="R3" s="747" t="s">
        <v>293</v>
      </c>
      <c r="S3" s="1442"/>
      <c r="T3" s="754"/>
      <c r="U3" s="755">
        <v>350</v>
      </c>
      <c r="V3" s="776"/>
      <c r="W3" s="1223"/>
      <c r="X3" s="1223"/>
      <c r="Y3" s="1223"/>
      <c r="Z3" s="1223"/>
      <c r="AA3" s="1223"/>
      <c r="AB3" s="1223"/>
      <c r="AC3" s="1223"/>
      <c r="AD3" s="1223"/>
      <c r="AE3" s="1223"/>
      <c r="AF3" s="1223"/>
      <c r="AG3" s="1223"/>
      <c r="AH3" s="1225"/>
      <c r="AI3" s="772"/>
      <c r="AJ3" s="772"/>
      <c r="AK3" s="772"/>
      <c r="AL3" s="772" t="s">
        <v>304</v>
      </c>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772"/>
      <c r="BS3" s="772"/>
      <c r="BT3" s="772"/>
      <c r="BU3" s="772"/>
      <c r="BV3" s="772"/>
      <c r="BW3" s="772"/>
      <c r="BX3" s="772"/>
      <c r="BY3" s="772"/>
      <c r="BZ3" s="772"/>
      <c r="CA3" s="772"/>
      <c r="CB3" s="772"/>
      <c r="CC3" s="772"/>
      <c r="CD3" s="772"/>
      <c r="CN3" s="772"/>
      <c r="CO3" s="772"/>
      <c r="CP3" s="772"/>
      <c r="CQ3" s="772"/>
      <c r="CR3" s="772"/>
    </row>
    <row r="4" spans="1:96" s="700" customFormat="1" ht="18.75" customHeight="1" x14ac:dyDescent="0.2">
      <c r="A4" s="1227"/>
      <c r="B4" s="869">
        <v>1</v>
      </c>
      <c r="C4" s="1228"/>
      <c r="D4" s="701" t="s">
        <v>163</v>
      </c>
      <c r="E4" s="702"/>
      <c r="F4" s="1229"/>
      <c r="G4" s="870">
        <v>2</v>
      </c>
      <c r="H4" s="703"/>
      <c r="I4" s="704"/>
      <c r="J4" s="1229"/>
      <c r="K4" s="870">
        <v>3</v>
      </c>
      <c r="L4" s="761" t="s">
        <v>288</v>
      </c>
      <c r="M4" s="703"/>
      <c r="N4" s="704"/>
      <c r="O4" s="1229"/>
      <c r="P4" s="1229"/>
      <c r="Q4" s="1229"/>
      <c r="R4" s="748" t="s">
        <v>356</v>
      </c>
      <c r="S4" s="1443"/>
      <c r="T4" s="703"/>
      <c r="U4" s="1300">
        <v>800</v>
      </c>
      <c r="V4" s="777"/>
      <c r="W4" s="1229"/>
      <c r="X4" s="1229"/>
      <c r="Y4" s="1229"/>
      <c r="Z4" s="1229"/>
      <c r="AA4" s="1229"/>
      <c r="AB4" s="1229"/>
      <c r="AC4" s="1229"/>
      <c r="AD4" s="1229"/>
      <c r="AE4" s="1229"/>
      <c r="AF4" s="1229"/>
      <c r="AG4" s="1229"/>
      <c r="AH4" s="1230"/>
      <c r="AI4" s="773"/>
      <c r="AJ4" s="773"/>
      <c r="AK4" s="778" t="s">
        <v>77</v>
      </c>
      <c r="AL4" s="778">
        <v>6.5877999999999997</v>
      </c>
      <c r="AM4" s="778">
        <v>9.0923999999999996</v>
      </c>
      <c r="AN4" s="778">
        <v>11.7454</v>
      </c>
      <c r="AO4" s="778">
        <v>13.873100000000001</v>
      </c>
      <c r="AP4" s="778">
        <v>16.580100000000002</v>
      </c>
      <c r="AQ4" s="778"/>
      <c r="AR4" s="773"/>
      <c r="AS4" s="773"/>
      <c r="AT4" s="773"/>
      <c r="AU4" s="773"/>
      <c r="AV4" s="773"/>
      <c r="AW4" s="773"/>
      <c r="AX4" s="773"/>
      <c r="AY4" s="773"/>
      <c r="AZ4" s="773"/>
      <c r="BA4" s="773"/>
      <c r="BB4" s="773"/>
      <c r="BC4" s="773"/>
      <c r="BD4" s="773"/>
      <c r="BE4" s="773"/>
      <c r="BF4" s="773"/>
      <c r="BG4" s="773"/>
      <c r="BH4" s="773"/>
      <c r="BI4" s="773"/>
      <c r="BJ4" s="773"/>
      <c r="BK4" s="773"/>
      <c r="BL4" s="773"/>
      <c r="BM4" s="773"/>
      <c r="BN4" s="773"/>
      <c r="BO4" s="773"/>
      <c r="BP4" s="773"/>
      <c r="BQ4" s="773"/>
      <c r="BR4" s="773"/>
      <c r="BS4" s="773"/>
      <c r="BT4" s="773"/>
      <c r="BU4" s="773"/>
      <c r="BV4" s="773"/>
      <c r="BW4" s="773"/>
      <c r="BX4" s="773"/>
      <c r="BY4" s="773"/>
      <c r="BZ4" s="773"/>
      <c r="CA4" s="773"/>
      <c r="CB4" s="773"/>
      <c r="CC4" s="773"/>
      <c r="CD4" s="773"/>
      <c r="CE4" s="773"/>
      <c r="CF4" s="773"/>
      <c r="CG4" s="773"/>
      <c r="CH4" s="773"/>
      <c r="CI4" s="773"/>
      <c r="CJ4" s="773"/>
      <c r="CK4" s="773"/>
      <c r="CL4" s="773"/>
      <c r="CM4" s="773"/>
      <c r="CN4" s="773"/>
      <c r="CO4" s="773"/>
      <c r="CP4" s="773"/>
      <c r="CQ4" s="773"/>
      <c r="CR4" s="773"/>
    </row>
    <row r="5" spans="1:96" ht="18.75" customHeight="1" thickBot="1" x14ac:dyDescent="0.25">
      <c r="A5" s="1222"/>
      <c r="B5" s="705"/>
      <c r="C5" s="1226"/>
      <c r="D5" s="706" t="s">
        <v>164</v>
      </c>
      <c r="E5" s="707"/>
      <c r="F5" s="1223"/>
      <c r="G5" s="708"/>
      <c r="H5" s="709" t="s">
        <v>287</v>
      </c>
      <c r="I5" s="710"/>
      <c r="J5" s="1223"/>
      <c r="K5" s="711"/>
      <c r="L5" s="760" t="s">
        <v>302</v>
      </c>
      <c r="M5" s="750"/>
      <c r="N5" s="712"/>
      <c r="O5" s="1223"/>
      <c r="P5" s="1223"/>
      <c r="Q5" s="1223"/>
      <c r="R5" s="749" t="s">
        <v>294</v>
      </c>
      <c r="S5" s="1444"/>
      <c r="T5" s="750"/>
      <c r="U5" s="768">
        <f>V5/100</f>
        <v>1</v>
      </c>
      <c r="V5" s="871">
        <v>100</v>
      </c>
      <c r="W5" s="1223"/>
      <c r="X5" s="1223"/>
      <c r="Y5" s="1223"/>
      <c r="Z5" s="1223"/>
      <c r="AA5" s="1223"/>
      <c r="AB5" s="1223"/>
      <c r="AC5" s="1223"/>
      <c r="AD5" s="1223"/>
      <c r="AE5" s="1223"/>
      <c r="AF5" s="1223"/>
      <c r="AG5" s="1223"/>
      <c r="AH5" s="1225"/>
      <c r="AI5" s="772"/>
      <c r="AJ5" s="772"/>
      <c r="AK5" s="778" t="s">
        <v>305</v>
      </c>
      <c r="AL5" s="779">
        <v>2.1250000000000002E-3</v>
      </c>
      <c r="AM5" s="779">
        <v>2.3010000000000001E-3</v>
      </c>
      <c r="AN5" s="779">
        <v>2.4849999999999998E-3</v>
      </c>
      <c r="AO5" s="779">
        <v>2.7599999999999999E-3</v>
      </c>
      <c r="AP5" s="779">
        <v>2.911E-3</v>
      </c>
      <c r="AQ5" s="779"/>
      <c r="AR5" s="772"/>
      <c r="AS5" s="772"/>
      <c r="AT5" s="772"/>
      <c r="AU5" s="775"/>
      <c r="AV5" s="775"/>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N5" s="772"/>
      <c r="CO5" s="772"/>
      <c r="CP5" s="772"/>
      <c r="CQ5" s="772"/>
      <c r="CR5" s="772"/>
    </row>
    <row r="6" spans="1:96" s="772" customFormat="1" ht="13.5" thickBot="1" x14ac:dyDescent="0.25">
      <c r="A6" s="1222"/>
      <c r="B6" s="1223"/>
      <c r="C6" s="1224"/>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3"/>
      <c r="AH6" s="1225"/>
      <c r="AI6" s="772" t="s">
        <v>295</v>
      </c>
      <c r="AJ6" s="772" t="s">
        <v>298</v>
      </c>
      <c r="AK6" s="772" t="s">
        <v>299</v>
      </c>
      <c r="AL6" s="772">
        <f>AL4*EXP(AL5*$U$3)</f>
        <v>13.859479703505173</v>
      </c>
      <c r="AM6" s="772">
        <f>AM4*EXP(AM5*$U$3)</f>
        <v>20.344058420389768</v>
      </c>
      <c r="AN6" s="772">
        <f>AN4*EXP(AN5*$U$3)</f>
        <v>28.028214809327</v>
      </c>
      <c r="AO6" s="772">
        <f>AO4*EXP(AO5*$U$3)</f>
        <v>36.450373791715798</v>
      </c>
      <c r="AP6" s="772">
        <f>AP4*EXP(AP5*$U$3)</f>
        <v>45.927000075044475</v>
      </c>
      <c r="AU6" s="775"/>
      <c r="AV6" s="775"/>
      <c r="BN6" s="772" t="s">
        <v>300</v>
      </c>
      <c r="BU6" s="772" t="s">
        <v>301</v>
      </c>
    </row>
    <row r="7" spans="1:96" s="713" customFormat="1" ht="18.75" customHeight="1" thickBot="1" x14ac:dyDescent="0.25">
      <c r="A7" s="1231"/>
      <c r="B7" s="714" t="s">
        <v>292</v>
      </c>
      <c r="C7" s="864"/>
      <c r="D7" s="171"/>
      <c r="E7" s="1232"/>
      <c r="F7" s="1232"/>
      <c r="G7" s="1232"/>
      <c r="H7" s="858" t="s">
        <v>263</v>
      </c>
      <c r="I7" s="691"/>
      <c r="J7" s="691"/>
      <c r="K7" s="691"/>
      <c r="L7" s="691"/>
      <c r="M7" s="691"/>
      <c r="N7" s="691"/>
      <c r="O7" s="691"/>
      <c r="P7" s="691"/>
      <c r="Q7" s="691"/>
      <c r="R7" s="814"/>
      <c r="S7" s="691"/>
      <c r="T7" s="715" t="s">
        <v>30</v>
      </c>
      <c r="U7" s="813"/>
      <c r="V7" s="691"/>
      <c r="W7" s="691"/>
      <c r="X7" s="691"/>
      <c r="Y7" s="814"/>
      <c r="Z7" s="691"/>
      <c r="AA7" s="814"/>
      <c r="AB7" s="814"/>
      <c r="AC7" s="814"/>
      <c r="AD7" s="814"/>
      <c r="AE7" s="814"/>
      <c r="AF7" s="814"/>
      <c r="AG7" s="1223"/>
      <c r="AH7" s="1225"/>
      <c r="AI7" s="762" t="s">
        <v>296</v>
      </c>
      <c r="AJ7" s="762" t="s">
        <v>297</v>
      </c>
      <c r="AK7" s="762"/>
      <c r="AL7" s="762">
        <v>600</v>
      </c>
      <c r="AM7" s="762">
        <v>800</v>
      </c>
      <c r="AN7" s="762">
        <v>1000</v>
      </c>
      <c r="AO7" s="762">
        <v>1200</v>
      </c>
      <c r="AP7" s="762">
        <v>1400</v>
      </c>
      <c r="AQ7" s="762">
        <v>1600</v>
      </c>
      <c r="AR7" s="762"/>
      <c r="AS7" s="762"/>
      <c r="AT7" s="762"/>
      <c r="AU7" s="762">
        <f t="shared" ref="AU7:AZ7" si="0">AL7</f>
        <v>600</v>
      </c>
      <c r="AV7" s="762">
        <f t="shared" si="0"/>
        <v>800</v>
      </c>
      <c r="AW7" s="762">
        <f t="shared" si="0"/>
        <v>1000</v>
      </c>
      <c r="AX7" s="762">
        <f t="shared" si="0"/>
        <v>1200</v>
      </c>
      <c r="AY7" s="762">
        <f t="shared" si="0"/>
        <v>1400</v>
      </c>
      <c r="AZ7" s="762">
        <f t="shared" si="0"/>
        <v>1600</v>
      </c>
      <c r="BA7" s="762" t="s">
        <v>347</v>
      </c>
      <c r="BB7" s="762"/>
      <c r="BC7" s="762"/>
      <c r="BD7" s="762"/>
      <c r="BE7" s="762"/>
      <c r="BF7" s="762"/>
      <c r="BG7" s="762"/>
      <c r="BH7" s="762"/>
      <c r="BI7" s="762"/>
      <c r="BN7" s="713">
        <f>AU7</f>
        <v>600</v>
      </c>
      <c r="BO7" s="713">
        <f>AV7</f>
        <v>800</v>
      </c>
      <c r="BP7" s="713">
        <f>AW7</f>
        <v>1000</v>
      </c>
      <c r="BQ7" s="713">
        <f>AX7</f>
        <v>1200</v>
      </c>
      <c r="BR7" s="713">
        <f>AY7</f>
        <v>1400</v>
      </c>
      <c r="BS7" s="713">
        <v>1600</v>
      </c>
      <c r="BV7" s="713">
        <f>BN7</f>
        <v>600</v>
      </c>
      <c r="BW7" s="713">
        <f>BO7</f>
        <v>800</v>
      </c>
      <c r="BX7" s="713">
        <f>BP7</f>
        <v>1000</v>
      </c>
      <c r="BY7" s="713">
        <f>BQ7</f>
        <v>1200</v>
      </c>
      <c r="BZ7" s="713">
        <f>BR7</f>
        <v>1400</v>
      </c>
      <c r="CE7" s="774"/>
      <c r="CF7" s="774"/>
      <c r="CG7" s="774"/>
      <c r="CH7" s="774"/>
      <c r="CI7" s="774"/>
      <c r="CJ7" s="774"/>
      <c r="CK7" s="774"/>
      <c r="CL7" s="774"/>
      <c r="CM7" s="774"/>
    </row>
    <row r="8" spans="1:96" s="713" customFormat="1" ht="18.75" customHeight="1" thickBot="1" x14ac:dyDescent="0.25">
      <c r="A8" s="1231"/>
      <c r="B8" s="716" t="str">
        <f>IF(Mast_Eingabe=1,"TM",IF(Mast_Eingabe=2,"FM",""))</f>
        <v>TM</v>
      </c>
      <c r="C8" s="864"/>
      <c r="D8" s="171"/>
      <c r="E8" s="171"/>
      <c r="F8" s="171"/>
      <c r="G8" s="752" t="s">
        <v>12</v>
      </c>
      <c r="H8" s="718" t="s">
        <v>74</v>
      </c>
      <c r="I8" s="111" t="s">
        <v>14</v>
      </c>
      <c r="J8" s="111" t="s">
        <v>15</v>
      </c>
      <c r="K8" s="111" t="s">
        <v>220</v>
      </c>
      <c r="L8" s="111" t="str">
        <f>IF(Art=1,"SW","")</f>
        <v>SW</v>
      </c>
      <c r="M8" s="717" t="s">
        <v>21</v>
      </c>
      <c r="N8" s="717" t="s">
        <v>22</v>
      </c>
      <c r="O8" s="110" t="s">
        <v>40</v>
      </c>
      <c r="P8" s="111" t="s">
        <v>41</v>
      </c>
      <c r="Q8" s="111" t="s">
        <v>42</v>
      </c>
      <c r="R8" s="689" t="s">
        <v>43</v>
      </c>
      <c r="S8" s="1445" t="s">
        <v>457</v>
      </c>
      <c r="T8" s="110" t="s">
        <v>168</v>
      </c>
      <c r="U8" s="818" t="s">
        <v>166</v>
      </c>
      <c r="V8" s="718" t="str">
        <f t="shared" ref="V8:AF8" si="1">+H8</f>
        <v>ME</v>
      </c>
      <c r="W8" s="111" t="str">
        <f t="shared" si="1"/>
        <v>nXP</v>
      </c>
      <c r="X8" s="111" t="str">
        <f t="shared" si="1"/>
        <v>RNB</v>
      </c>
      <c r="Y8" s="111" t="str">
        <f t="shared" si="1"/>
        <v>NFC</v>
      </c>
      <c r="Z8" s="718" t="str">
        <f t="shared" si="1"/>
        <v>SW</v>
      </c>
      <c r="AA8" s="718" t="str">
        <f t="shared" si="1"/>
        <v>ADF</v>
      </c>
      <c r="AB8" s="719" t="str">
        <f t="shared" si="1"/>
        <v>NDF</v>
      </c>
      <c r="AC8" s="110" t="str">
        <f t="shared" si="1"/>
        <v>Ca</v>
      </c>
      <c r="AD8" s="718" t="str">
        <f t="shared" si="1"/>
        <v>P</v>
      </c>
      <c r="AE8" s="718" t="str">
        <f t="shared" si="1"/>
        <v>Na</v>
      </c>
      <c r="AF8" s="719" t="str">
        <f t="shared" si="1"/>
        <v>Mg</v>
      </c>
      <c r="AG8" s="719" t="s">
        <v>457</v>
      </c>
      <c r="AH8" s="1225"/>
      <c r="AI8" s="713">
        <v>175</v>
      </c>
      <c r="AJ8" s="757">
        <f>AI8^0.75*0.53</f>
        <v>25.500835287658493</v>
      </c>
      <c r="AK8" s="757">
        <f>AI8</f>
        <v>175</v>
      </c>
      <c r="AL8" s="713">
        <v>9.6</v>
      </c>
      <c r="AM8" s="713">
        <v>13.9</v>
      </c>
      <c r="AN8" s="713">
        <v>18.899999999999999</v>
      </c>
      <c r="AU8" s="757">
        <f t="shared" ref="AU8:AW9" si="2">AL8/AU$7*1000</f>
        <v>16</v>
      </c>
      <c r="AV8" s="757">
        <f t="shared" si="2"/>
        <v>17.375</v>
      </c>
      <c r="AW8" s="757">
        <f t="shared" si="2"/>
        <v>18.899999999999999</v>
      </c>
      <c r="AX8" s="757"/>
      <c r="AY8" s="757"/>
      <c r="AZ8" s="757"/>
      <c r="BA8" s="757">
        <f>MEDIAN(AU8:AZ8)</f>
        <v>17.375</v>
      </c>
      <c r="BB8" s="757"/>
      <c r="BC8" s="757"/>
      <c r="BD8" s="757"/>
      <c r="BE8" s="757"/>
      <c r="BF8" s="757"/>
      <c r="BG8" s="757"/>
      <c r="BH8" s="757"/>
      <c r="BI8" s="757"/>
      <c r="BJ8" s="757"/>
      <c r="BK8" s="757"/>
      <c r="BL8" s="757"/>
      <c r="BM8" s="713">
        <f>AI8</f>
        <v>175</v>
      </c>
      <c r="BN8" s="756">
        <f t="shared" ref="BN8:BS9" si="3">(-19.7+4.55*LN($BM8)+0.00066*BN$7)*$U$5</f>
        <v>4.1957761813519907</v>
      </c>
      <c r="BO8" s="756">
        <f t="shared" si="3"/>
        <v>4.3277761813519913</v>
      </c>
      <c r="BP8" s="756">
        <f t="shared" si="3"/>
        <v>4.4597761813519909</v>
      </c>
      <c r="BQ8" s="756">
        <f t="shared" si="3"/>
        <v>4.5917761813519906</v>
      </c>
      <c r="BR8" s="756">
        <f t="shared" si="3"/>
        <v>4.7237761813519912</v>
      </c>
      <c r="BS8" s="756">
        <f t="shared" si="3"/>
        <v>4.8557761813519909</v>
      </c>
      <c r="BT8" s="756"/>
      <c r="BU8" s="713">
        <f>BM8</f>
        <v>175</v>
      </c>
      <c r="BV8" s="756">
        <f t="shared" ref="BV8:BX9" si="4">AU8/BN8</f>
        <v>3.8133587942825811</v>
      </c>
      <c r="BW8" s="756">
        <f t="shared" si="4"/>
        <v>4.0147639970078295</v>
      </c>
      <c r="BX8" s="756">
        <f t="shared" si="4"/>
        <v>4.2378808333539331</v>
      </c>
      <c r="BY8" s="756"/>
      <c r="BZ8" s="756"/>
      <c r="CA8" s="756"/>
      <c r="CE8" s="774"/>
      <c r="CF8" s="774"/>
      <c r="CG8" s="774"/>
      <c r="CH8" s="774"/>
      <c r="CI8" s="774"/>
      <c r="CJ8" s="774"/>
      <c r="CK8" s="774"/>
      <c r="CL8" s="774"/>
      <c r="CM8" s="774"/>
    </row>
    <row r="9" spans="1:96" s="713" customFormat="1" ht="18.75" customHeight="1" thickBot="1" x14ac:dyDescent="0.25">
      <c r="A9" s="1231"/>
      <c r="B9" s="720" t="s">
        <v>9</v>
      </c>
      <c r="C9" s="865"/>
      <c r="D9" s="721" t="s">
        <v>290</v>
      </c>
      <c r="E9" s="722"/>
      <c r="F9" s="723"/>
      <c r="G9" s="753" t="s">
        <v>11</v>
      </c>
      <c r="H9" s="678" t="s">
        <v>23</v>
      </c>
      <c r="I9" s="1233" t="s">
        <v>24</v>
      </c>
      <c r="J9" s="1233" t="str">
        <f>IF(J8="","","g")</f>
        <v>g</v>
      </c>
      <c r="K9" s="1233" t="s">
        <v>24</v>
      </c>
      <c r="L9" s="1233"/>
      <c r="M9" s="678" t="str">
        <f>IF(M8="","","g")</f>
        <v>g</v>
      </c>
      <c r="N9" s="724" t="s">
        <v>24</v>
      </c>
      <c r="O9" s="677" t="s">
        <v>24</v>
      </c>
      <c r="P9" s="1233" t="s">
        <v>24</v>
      </c>
      <c r="Q9" s="1233" t="s">
        <v>24</v>
      </c>
      <c r="R9" s="690" t="s">
        <v>31</v>
      </c>
      <c r="S9" s="1446" t="s">
        <v>470</v>
      </c>
      <c r="T9" s="114" t="s">
        <v>9</v>
      </c>
      <c r="U9" s="819" t="s">
        <v>9</v>
      </c>
      <c r="V9" s="115" t="s">
        <v>23</v>
      </c>
      <c r="W9" s="79" t="s">
        <v>24</v>
      </c>
      <c r="X9" s="79" t="str">
        <f>J9</f>
        <v>g</v>
      </c>
      <c r="Y9" s="79" t="s">
        <v>24</v>
      </c>
      <c r="Z9" s="115"/>
      <c r="AA9" s="115" t="s">
        <v>24</v>
      </c>
      <c r="AB9" s="725" t="s">
        <v>24</v>
      </c>
      <c r="AC9" s="114" t="s">
        <v>24</v>
      </c>
      <c r="AD9" s="115" t="s">
        <v>24</v>
      </c>
      <c r="AE9" s="115" t="s">
        <v>24</v>
      </c>
      <c r="AF9" s="725" t="s">
        <v>24</v>
      </c>
      <c r="AG9" s="725" t="s">
        <v>460</v>
      </c>
      <c r="AH9" s="1225"/>
      <c r="AI9" s="713">
        <v>225</v>
      </c>
      <c r="AJ9" s="757">
        <f>AI9^0.75*0.53</f>
        <v>30.790217602348957</v>
      </c>
      <c r="AK9" s="757">
        <f>AI9</f>
        <v>225</v>
      </c>
      <c r="AL9" s="713">
        <v>10.6</v>
      </c>
      <c r="AM9" s="713">
        <v>15.2</v>
      </c>
      <c r="AN9" s="713">
        <v>20.399999999999999</v>
      </c>
      <c r="AO9" s="713">
        <v>26.3</v>
      </c>
      <c r="AU9" s="757">
        <f t="shared" si="2"/>
        <v>17.666666666666668</v>
      </c>
      <c r="AV9" s="757">
        <f t="shared" si="2"/>
        <v>19</v>
      </c>
      <c r="AW9" s="757">
        <f t="shared" si="2"/>
        <v>20.399999999999999</v>
      </c>
      <c r="AX9" s="757">
        <f>AO9/AX$7*1000</f>
        <v>21.916666666666668</v>
      </c>
      <c r="AY9" s="757"/>
      <c r="AZ9" s="757"/>
      <c r="BA9" s="757">
        <f>MEDIAN(AU9:AZ9)</f>
        <v>19.7</v>
      </c>
      <c r="BB9" s="757"/>
      <c r="BC9" s="757"/>
      <c r="BD9" s="757"/>
      <c r="BE9" s="757"/>
      <c r="BF9" s="757"/>
      <c r="BG9" s="757"/>
      <c r="BH9" s="757"/>
      <c r="BI9" s="757"/>
      <c r="BJ9" s="757"/>
      <c r="BK9" s="757"/>
      <c r="BL9" s="757"/>
      <c r="BM9" s="713">
        <f>AI9</f>
        <v>225</v>
      </c>
      <c r="BN9" s="756">
        <f t="shared" si="3"/>
        <v>5.339256830030112</v>
      </c>
      <c r="BO9" s="756">
        <f t="shared" si="3"/>
        <v>5.4712568300301125</v>
      </c>
      <c r="BP9" s="756">
        <f t="shared" si="3"/>
        <v>5.6032568300301122</v>
      </c>
      <c r="BQ9" s="756">
        <f t="shared" si="3"/>
        <v>5.7352568300301119</v>
      </c>
      <c r="BR9" s="756">
        <f t="shared" si="3"/>
        <v>5.8672568300301124</v>
      </c>
      <c r="BS9" s="756">
        <f t="shared" si="3"/>
        <v>5.9992568300301121</v>
      </c>
      <c r="BT9" s="756"/>
      <c r="BU9" s="713">
        <f>BM9</f>
        <v>225</v>
      </c>
      <c r="BV9" s="756">
        <f t="shared" si="4"/>
        <v>3.3088250348442281</v>
      </c>
      <c r="BW9" s="756">
        <f t="shared" si="4"/>
        <v>3.4726938599764887</v>
      </c>
      <c r="BX9" s="756">
        <f t="shared" si="4"/>
        <v>3.6407397731027022</v>
      </c>
      <c r="BY9" s="756">
        <f>AX9/BQ9</f>
        <v>3.821392365884964</v>
      </c>
      <c r="BZ9" s="756"/>
      <c r="CA9" s="756"/>
      <c r="CE9" s="774"/>
      <c r="CF9" s="774"/>
      <c r="CG9" s="774"/>
      <c r="CH9" s="774"/>
      <c r="CI9" s="774"/>
      <c r="CJ9" s="774"/>
      <c r="CK9" s="774"/>
      <c r="CL9" s="774"/>
      <c r="CM9" s="774"/>
    </row>
    <row r="10" spans="1:96" s="713" customFormat="1" ht="21" customHeight="1" x14ac:dyDescent="0.2">
      <c r="A10" s="1231"/>
      <c r="B10" s="859"/>
      <c r="C10" s="93">
        <v>71</v>
      </c>
      <c r="D10" s="726">
        <f>INDEX(Tabelle,$C10,1)</f>
        <v>0</v>
      </c>
      <c r="E10" s="727"/>
      <c r="F10" s="728">
        <f>IF(INDEX(Tabelle,$C10,22)="","",1)</f>
        <v>1</v>
      </c>
      <c r="G10" s="63">
        <f>IF(INDEX(Tabelle,$C10,2)="","fehlt",INDEX(Tabelle,$C10,2)/10)</f>
        <v>1.0000000000000001E-5</v>
      </c>
      <c r="H10" s="729">
        <f>IF(INDEX(Tabelle,$C10,4)="","fehlt",INDEX(Tabelle,$C10,4))</f>
        <v>1E-4</v>
      </c>
      <c r="I10" s="65">
        <f>IF(INDEX(Tabelle,$C10,7)="","fehlt",INDEX(Tabelle,$C10,7))</f>
        <v>1E-4</v>
      </c>
      <c r="J10" s="676">
        <f>IF(INDEX(Tabelle,$C10,8)="","fehlt",INDEX(Tabelle,$C10,8))</f>
        <v>1E-4</v>
      </c>
      <c r="K10" s="65">
        <f>IF(INDEX(Tabelle,$C10,12)="","fehlt",INDEX(Tabelle,$C10,12))</f>
        <v>1E-4</v>
      </c>
      <c r="L10" s="66">
        <f>IF(INDEX(Tabelle,$C10,9)="","fehlt",INDEX(Tabelle,$C10,9))</f>
        <v>1E-4</v>
      </c>
      <c r="M10" s="65">
        <f>IF(INDEX(Tabelle,$C10,10)="","fehlt",INDEX(Tabelle,$C10,10))</f>
        <v>1E-4</v>
      </c>
      <c r="N10" s="686">
        <f>IF(INDEX(Tabelle,$C10,11)="","fehlt",INDEX(Tabelle,$C10,11))</f>
        <v>1E-4</v>
      </c>
      <c r="O10" s="64">
        <f>IF(INDEX(Tabelle,$C10,19)="","fehlt",INDEX(Tabelle,$C10,19))</f>
        <v>1E-4</v>
      </c>
      <c r="P10" s="676">
        <f>IF(INDEX(Tabelle,$C10,20)="","fehlt",INDEX(Tabelle,$C10,20))</f>
        <v>1E-4</v>
      </c>
      <c r="Q10" s="676">
        <f>IF(INDEX(Tabelle,$C10,21)="","fehlt",INDEX(Tabelle,$C10,21))</f>
        <v>1E-4</v>
      </c>
      <c r="R10" s="682">
        <f>IF(INDEX(Tabelle,$C10,22)="","fehlt",INDEX(Tabelle,$C10,22))</f>
        <v>1E-4</v>
      </c>
      <c r="S10" s="1451" t="str">
        <f>IF(INDEX(Tabelle,$C10,25)="","",INDEX(Tabelle,$C10,25)/100)</f>
        <v/>
      </c>
      <c r="T10" s="85">
        <f>IF(G10="",0,IF(Mast_Eingabe=2,B10,B10/G10*100))</f>
        <v>0</v>
      </c>
      <c r="U10" s="820">
        <f>IF(G10="",0,IF(Mast_Eingabe=1,B10,B10*G10/100))</f>
        <v>0</v>
      </c>
      <c r="V10" s="815">
        <f t="shared" ref="V10:AF14" si="5">$U10*H10</f>
        <v>0</v>
      </c>
      <c r="W10" s="811">
        <f t="shared" si="5"/>
        <v>0</v>
      </c>
      <c r="X10" s="811">
        <f t="shared" si="5"/>
        <v>0</v>
      </c>
      <c r="Y10" s="811">
        <f t="shared" si="5"/>
        <v>0</v>
      </c>
      <c r="Z10" s="811">
        <f t="shared" si="5"/>
        <v>0</v>
      </c>
      <c r="AA10" s="811">
        <f t="shared" si="5"/>
        <v>0</v>
      </c>
      <c r="AB10" s="812">
        <f t="shared" si="5"/>
        <v>0</v>
      </c>
      <c r="AC10" s="64">
        <f t="shared" si="5"/>
        <v>0</v>
      </c>
      <c r="AD10" s="676">
        <f t="shared" si="5"/>
        <v>0</v>
      </c>
      <c r="AE10" s="676">
        <f t="shared" si="5"/>
        <v>0</v>
      </c>
      <c r="AF10" s="682">
        <f t="shared" si="5"/>
        <v>0</v>
      </c>
      <c r="AG10" s="1451" t="str">
        <f>IF(S10="","",$T10*S10)</f>
        <v/>
      </c>
      <c r="AH10" s="1225"/>
    </row>
    <row r="11" spans="1:96" s="713" customFormat="1" ht="21" customHeight="1" x14ac:dyDescent="0.2">
      <c r="A11" s="1231"/>
      <c r="B11" s="860"/>
      <c r="C11" s="1234">
        <v>108</v>
      </c>
      <c r="D11" s="730">
        <f>INDEX(Tabelle,$C11,1)</f>
        <v>0</v>
      </c>
      <c r="E11" s="1235"/>
      <c r="F11" s="731">
        <f>IF(INDEX(Tabelle,$C11,22)="","",1)</f>
        <v>1</v>
      </c>
      <c r="G11" s="71">
        <f>IF(INDEX(Tabelle,$C11,2)="","fehlt",INDEX(Tabelle,$C11,2)/10)</f>
        <v>1.0000000000000001E-5</v>
      </c>
      <c r="H11" s="751">
        <f>IF(INDEX(Tabelle,$C11,4)="","fehlt",INDEX(Tabelle,$C11,4))</f>
        <v>1E-4</v>
      </c>
      <c r="I11" s="680">
        <f>IF(INDEX(Tabelle,$C11,7)="","fehlt",INDEX(Tabelle,$C11,7))</f>
        <v>1E-4</v>
      </c>
      <c r="J11" s="679">
        <f>IF(INDEX(Tabelle,$C11,8)="","fehlt",INDEX(Tabelle,$C11,8))</f>
        <v>1E-4</v>
      </c>
      <c r="K11" s="680">
        <f>IF(INDEX(Tabelle,$C11,12)="","fehlt",INDEX(Tabelle,$C11,12))</f>
        <v>1E-4</v>
      </c>
      <c r="L11" s="681">
        <f>IF(INDEX(Tabelle,$C11,9)="","fehlt",INDEX(Tabelle,$C11,9))</f>
        <v>1E-4</v>
      </c>
      <c r="M11" s="680">
        <f>IF(INDEX(Tabelle,$C11,10)="","fehlt",INDEX(Tabelle,$C11,10))</f>
        <v>1E-4</v>
      </c>
      <c r="N11" s="687">
        <f>IF(INDEX(Tabelle,$C11,11)="","fehlt",INDEX(Tabelle,$C11,11))</f>
        <v>1E-4</v>
      </c>
      <c r="O11" s="72">
        <f>IF(INDEX(Tabelle,$C11,19)="","fehlt",INDEX(Tabelle,$C11,19))</f>
        <v>1E-4</v>
      </c>
      <c r="P11" s="679">
        <f>IF(INDEX(Tabelle,$C11,20)="","fehlt",INDEX(Tabelle,$C11,20))</f>
        <v>1E-4</v>
      </c>
      <c r="Q11" s="679">
        <f>IF(INDEX(Tabelle,$C11,21)="","fehlt",INDEX(Tabelle,$C11,21))</f>
        <v>1E-4</v>
      </c>
      <c r="R11" s="683">
        <f>IF(INDEX(Tabelle,$C11,22)="","fehlt",INDEX(Tabelle,$C11,22))</f>
        <v>1E-4</v>
      </c>
      <c r="S11" s="1452" t="str">
        <f>IF(INDEX(Tabelle,$C11,25)="","",INDEX(Tabelle,$C11,25)/100)</f>
        <v/>
      </c>
      <c r="T11" s="85">
        <f>IF(G11="",0,IF(Mast_Eingabe=2,B11,B11/G11*100))</f>
        <v>0</v>
      </c>
      <c r="U11" s="820">
        <f>IF(G11="",0,IF(Mast_Eingabe=1,B11,B11*G11/100))</f>
        <v>0</v>
      </c>
      <c r="V11" s="751">
        <f t="shared" si="5"/>
        <v>0</v>
      </c>
      <c r="W11" s="679">
        <f t="shared" si="5"/>
        <v>0</v>
      </c>
      <c r="X11" s="679">
        <f t="shared" si="5"/>
        <v>0</v>
      </c>
      <c r="Y11" s="679">
        <f t="shared" si="5"/>
        <v>0</v>
      </c>
      <c r="Z11" s="679">
        <f t="shared" si="5"/>
        <v>0</v>
      </c>
      <c r="AA11" s="679">
        <f t="shared" si="5"/>
        <v>0</v>
      </c>
      <c r="AB11" s="809">
        <f t="shared" si="5"/>
        <v>0</v>
      </c>
      <c r="AC11" s="72">
        <f t="shared" si="5"/>
        <v>0</v>
      </c>
      <c r="AD11" s="679">
        <f t="shared" si="5"/>
        <v>0</v>
      </c>
      <c r="AE11" s="679">
        <f t="shared" si="5"/>
        <v>0</v>
      </c>
      <c r="AF11" s="683">
        <f t="shared" si="5"/>
        <v>0</v>
      </c>
      <c r="AG11" s="1452" t="str">
        <f>IF(S11="","",$T11*S11)</f>
        <v/>
      </c>
      <c r="AH11" s="1225"/>
    </row>
    <row r="12" spans="1:96" s="713" customFormat="1" ht="21" customHeight="1" x14ac:dyDescent="0.2">
      <c r="A12" s="1231"/>
      <c r="B12" s="860"/>
      <c r="C12" s="1234">
        <v>71</v>
      </c>
      <c r="D12" s="730">
        <f>INDEX(Tabelle,$C12,1)</f>
        <v>0</v>
      </c>
      <c r="E12" s="1235"/>
      <c r="F12" s="731">
        <f>IF(INDEX(Tabelle,$C12,22)="","",1)</f>
        <v>1</v>
      </c>
      <c r="G12" s="71">
        <f>IF(INDEX(Tabelle,$C12,2)="","fehlt",INDEX(Tabelle,$C12,2)/10)</f>
        <v>1.0000000000000001E-5</v>
      </c>
      <c r="H12" s="751">
        <f>IF(INDEX(Tabelle,$C12,4)="","fehlt",INDEX(Tabelle,$C12,4))</f>
        <v>1E-4</v>
      </c>
      <c r="I12" s="680">
        <f>IF(INDEX(Tabelle,$C12,7)="","fehlt",INDEX(Tabelle,$C12,7))</f>
        <v>1E-4</v>
      </c>
      <c r="J12" s="679">
        <f>IF(INDEX(Tabelle,$C12,8)="","fehlt",INDEX(Tabelle,$C12,8))</f>
        <v>1E-4</v>
      </c>
      <c r="K12" s="680">
        <f>IF(INDEX(Tabelle,$C12,12)="","fehlt",INDEX(Tabelle,$C12,12))</f>
        <v>1E-4</v>
      </c>
      <c r="L12" s="681">
        <f>IF(INDEX(Tabelle,$C12,9)="","fehlt",INDEX(Tabelle,$C12,9))</f>
        <v>1E-4</v>
      </c>
      <c r="M12" s="680">
        <f>IF(INDEX(Tabelle,$C12,10)="","fehlt",INDEX(Tabelle,$C12,10))</f>
        <v>1E-4</v>
      </c>
      <c r="N12" s="687">
        <f>IF(INDEX(Tabelle,$C12,11)="","fehlt",INDEX(Tabelle,$C12,11))</f>
        <v>1E-4</v>
      </c>
      <c r="O12" s="72">
        <f>IF(INDEX(Tabelle,$C12,19)="","fehlt",INDEX(Tabelle,$C12,19))</f>
        <v>1E-4</v>
      </c>
      <c r="P12" s="679">
        <f>IF(INDEX(Tabelle,$C12,20)="","fehlt",INDEX(Tabelle,$C12,20))</f>
        <v>1E-4</v>
      </c>
      <c r="Q12" s="679">
        <f>IF(INDEX(Tabelle,$C12,21)="","fehlt",INDEX(Tabelle,$C12,21))</f>
        <v>1E-4</v>
      </c>
      <c r="R12" s="683">
        <f>IF(INDEX(Tabelle,$C12,22)="","fehlt",INDEX(Tabelle,$C12,22))</f>
        <v>1E-4</v>
      </c>
      <c r="S12" s="1452" t="str">
        <f>IF(INDEX(Tabelle,$C12,25)="","",INDEX(Tabelle,$C12,25)/100)</f>
        <v/>
      </c>
      <c r="T12" s="85">
        <f>IF(G12="",0,IF(Mast_Eingabe=2,B12,B12/G12*100))</f>
        <v>0</v>
      </c>
      <c r="U12" s="820">
        <f>IF(G12="",0,IF(Mast_Eingabe=1,B12,B12*G12/100))</f>
        <v>0</v>
      </c>
      <c r="V12" s="751">
        <f t="shared" si="5"/>
        <v>0</v>
      </c>
      <c r="W12" s="679">
        <f t="shared" si="5"/>
        <v>0</v>
      </c>
      <c r="X12" s="679">
        <f t="shared" si="5"/>
        <v>0</v>
      </c>
      <c r="Y12" s="679">
        <f t="shared" si="5"/>
        <v>0</v>
      </c>
      <c r="Z12" s="679">
        <f t="shared" si="5"/>
        <v>0</v>
      </c>
      <c r="AA12" s="679">
        <f t="shared" si="5"/>
        <v>0</v>
      </c>
      <c r="AB12" s="809">
        <f t="shared" si="5"/>
        <v>0</v>
      </c>
      <c r="AC12" s="72">
        <f t="shared" si="5"/>
        <v>0</v>
      </c>
      <c r="AD12" s="679">
        <f t="shared" si="5"/>
        <v>0</v>
      </c>
      <c r="AE12" s="679">
        <f t="shared" si="5"/>
        <v>0</v>
      </c>
      <c r="AF12" s="683">
        <f t="shared" si="5"/>
        <v>0</v>
      </c>
      <c r="AG12" s="1452" t="str">
        <f>IF(S12="","",$T12*S12)</f>
        <v/>
      </c>
      <c r="AH12" s="1225"/>
    </row>
    <row r="13" spans="1:96" s="713" customFormat="1" ht="21" customHeight="1" x14ac:dyDescent="0.2">
      <c r="A13" s="1231"/>
      <c r="B13" s="860"/>
      <c r="C13" s="1234">
        <v>71</v>
      </c>
      <c r="D13" s="730">
        <f>INDEX(Tabelle,$C13,1)</f>
        <v>0</v>
      </c>
      <c r="E13" s="1235"/>
      <c r="F13" s="731">
        <f>IF(INDEX(Tabelle,$C13,22)="","",1)</f>
        <v>1</v>
      </c>
      <c r="G13" s="71">
        <f>IF(INDEX(Tabelle,$C13,2)="","fehlt",INDEX(Tabelle,$C13,2)/10)</f>
        <v>1.0000000000000001E-5</v>
      </c>
      <c r="H13" s="751">
        <f>IF(INDEX(Tabelle,$C13,4)="","fehlt",INDEX(Tabelle,$C13,4))</f>
        <v>1E-4</v>
      </c>
      <c r="I13" s="680">
        <f>IF(INDEX(Tabelle,$C13,7)="","fehlt",INDEX(Tabelle,$C13,7))</f>
        <v>1E-4</v>
      </c>
      <c r="J13" s="679">
        <f>IF(INDEX(Tabelle,$C13,8)="","fehlt",INDEX(Tabelle,$C13,8))</f>
        <v>1E-4</v>
      </c>
      <c r="K13" s="680">
        <f>IF(INDEX(Tabelle,$C13,12)="","fehlt",INDEX(Tabelle,$C13,12))</f>
        <v>1E-4</v>
      </c>
      <c r="L13" s="681">
        <f>IF(INDEX(Tabelle,$C13,9)="","fehlt",INDEX(Tabelle,$C13,9))</f>
        <v>1E-4</v>
      </c>
      <c r="M13" s="680">
        <f>IF(INDEX(Tabelle,$C13,10)="","fehlt",INDEX(Tabelle,$C13,10))</f>
        <v>1E-4</v>
      </c>
      <c r="N13" s="687">
        <f>IF(INDEX(Tabelle,$C13,11)="","fehlt",INDEX(Tabelle,$C13,11))</f>
        <v>1E-4</v>
      </c>
      <c r="O13" s="72">
        <f>IF(INDEX(Tabelle,$C13,19)="","fehlt",INDEX(Tabelle,$C13,19))</f>
        <v>1E-4</v>
      </c>
      <c r="P13" s="679">
        <f>IF(INDEX(Tabelle,$C13,20)="","fehlt",INDEX(Tabelle,$C13,20))</f>
        <v>1E-4</v>
      </c>
      <c r="Q13" s="679">
        <f>IF(INDEX(Tabelle,$C13,21)="","fehlt",INDEX(Tabelle,$C13,21))</f>
        <v>1E-4</v>
      </c>
      <c r="R13" s="683">
        <f>IF(INDEX(Tabelle,$C13,22)="","fehlt",INDEX(Tabelle,$C13,22))</f>
        <v>1E-4</v>
      </c>
      <c r="S13" s="1452" t="str">
        <f>IF(INDEX(Tabelle,$C13,25)="","",INDEX(Tabelle,$C13,25)/100)</f>
        <v/>
      </c>
      <c r="T13" s="85">
        <f>IF(G13="",0,IF(Mast_Eingabe=2,B13,B13/G13*100))</f>
        <v>0</v>
      </c>
      <c r="U13" s="820">
        <f>IF(G13="",0,IF(Mast_Eingabe=1,B13,B13*G13/100))</f>
        <v>0</v>
      </c>
      <c r="V13" s="751">
        <f t="shared" si="5"/>
        <v>0</v>
      </c>
      <c r="W13" s="679">
        <f t="shared" si="5"/>
        <v>0</v>
      </c>
      <c r="X13" s="679">
        <f t="shared" si="5"/>
        <v>0</v>
      </c>
      <c r="Y13" s="679">
        <f t="shared" si="5"/>
        <v>0</v>
      </c>
      <c r="Z13" s="679">
        <f t="shared" si="5"/>
        <v>0</v>
      </c>
      <c r="AA13" s="679">
        <f t="shared" si="5"/>
        <v>0</v>
      </c>
      <c r="AB13" s="809">
        <f t="shared" si="5"/>
        <v>0</v>
      </c>
      <c r="AC13" s="72">
        <f t="shared" si="5"/>
        <v>0</v>
      </c>
      <c r="AD13" s="679">
        <f t="shared" si="5"/>
        <v>0</v>
      </c>
      <c r="AE13" s="679">
        <f t="shared" si="5"/>
        <v>0</v>
      </c>
      <c r="AF13" s="683">
        <f t="shared" si="5"/>
        <v>0</v>
      </c>
      <c r="AG13" s="1452" t="str">
        <f>IF(S13="","",$T13*S13)</f>
        <v/>
      </c>
      <c r="AH13" s="1225"/>
    </row>
    <row r="14" spans="1:96" s="713" customFormat="1" ht="21" customHeight="1" thickBot="1" x14ac:dyDescent="0.25">
      <c r="A14" s="1231"/>
      <c r="B14" s="861"/>
      <c r="C14" s="94">
        <v>71</v>
      </c>
      <c r="D14" s="732">
        <f>INDEX(Tabelle,$C14,1)</f>
        <v>0</v>
      </c>
      <c r="E14" s="733"/>
      <c r="F14" s="734">
        <f>IF(INDEX(Tabelle,$C14,22)="","",1)</f>
        <v>1</v>
      </c>
      <c r="G14" s="76">
        <f>IF(INDEX(Tabelle,$C14,2)="","fehlt",INDEX(Tabelle,$C14,2)/10)</f>
        <v>1.0000000000000001E-5</v>
      </c>
      <c r="H14" s="735">
        <f>IF(INDEX(Tabelle,$C14,4)="","fehlt",INDEX(Tabelle,$C14,4))</f>
        <v>1E-4</v>
      </c>
      <c r="I14" s="78">
        <f>IF(INDEX(Tabelle,$C14,7)="","fehlt",INDEX(Tabelle,$C14,7))</f>
        <v>1E-4</v>
      </c>
      <c r="J14" s="684">
        <f>IF(INDEX(Tabelle,$C14,8)="","fehlt",INDEX(Tabelle,$C14,8))</f>
        <v>1E-4</v>
      </c>
      <c r="K14" s="78">
        <f>IF(INDEX(Tabelle,$C14,12)="","fehlt",INDEX(Tabelle,$C14,12))</f>
        <v>1E-4</v>
      </c>
      <c r="L14" s="80">
        <f>IF(INDEX(Tabelle,$C14,9)="","fehlt",INDEX(Tabelle,$C14,9))</f>
        <v>1E-4</v>
      </c>
      <c r="M14" s="78">
        <f>IF(INDEX(Tabelle,$C14,10)="","fehlt",INDEX(Tabelle,$C14,10))</f>
        <v>1E-4</v>
      </c>
      <c r="N14" s="688">
        <f>IF(INDEX(Tabelle,$C14,11)="","fehlt",INDEX(Tabelle,$C14,11))</f>
        <v>1E-4</v>
      </c>
      <c r="O14" s="77">
        <f>IF(INDEX(Tabelle,$C14,19)="","fehlt",INDEX(Tabelle,$C14,19))</f>
        <v>1E-4</v>
      </c>
      <c r="P14" s="684">
        <f>IF(INDEX(Tabelle,$C14,20)="","fehlt",INDEX(Tabelle,$C14,20))</f>
        <v>1E-4</v>
      </c>
      <c r="Q14" s="684">
        <f>IF(INDEX(Tabelle,$C14,21)="","fehlt",INDEX(Tabelle,$C14,21))</f>
        <v>1E-4</v>
      </c>
      <c r="R14" s="1454">
        <f>IF(INDEX(Tabelle,$C14,22)="","fehlt",INDEX(Tabelle,$C14,22))</f>
        <v>1E-4</v>
      </c>
      <c r="S14" s="1455" t="str">
        <f>IF(INDEX(Tabelle,$C14,25)="","",INDEX(Tabelle,$C14,25)/100)</f>
        <v/>
      </c>
      <c r="T14" s="1456">
        <f>IF(G14="",0,IF(Mast_Eingabe=2,B14,B14/G14*100))</f>
        <v>0</v>
      </c>
      <c r="U14" s="1457">
        <f>IF(G14="",0,IF(Mast_Eingabe=1,B14,B14*G14/100))</f>
        <v>0</v>
      </c>
      <c r="V14" s="823">
        <f t="shared" si="5"/>
        <v>0</v>
      </c>
      <c r="W14" s="1236">
        <f t="shared" si="5"/>
        <v>0</v>
      </c>
      <c r="X14" s="1236">
        <f t="shared" si="5"/>
        <v>0</v>
      </c>
      <c r="Y14" s="1236">
        <f t="shared" si="5"/>
        <v>0</v>
      </c>
      <c r="Z14" s="1236">
        <f t="shared" si="5"/>
        <v>0</v>
      </c>
      <c r="AA14" s="1236">
        <f t="shared" si="5"/>
        <v>0</v>
      </c>
      <c r="AB14" s="810">
        <f t="shared" si="5"/>
        <v>0</v>
      </c>
      <c r="AC14" s="1458">
        <f t="shared" si="5"/>
        <v>0</v>
      </c>
      <c r="AD14" s="1236">
        <f t="shared" si="5"/>
        <v>0</v>
      </c>
      <c r="AE14" s="1236">
        <f t="shared" si="5"/>
        <v>0</v>
      </c>
      <c r="AF14" s="1454">
        <f t="shared" si="5"/>
        <v>0</v>
      </c>
      <c r="AG14" s="1455" t="str">
        <f>IF(S14="","",$T14*S14)</f>
        <v/>
      </c>
      <c r="AH14" s="1225"/>
    </row>
    <row r="15" spans="1:96" s="713" customFormat="1" ht="18.75" customHeight="1" thickBot="1" x14ac:dyDescent="0.25">
      <c r="A15" s="1231"/>
      <c r="B15" s="174"/>
      <c r="C15" s="866"/>
      <c r="D15" s="174"/>
      <c r="E15" s="174"/>
      <c r="F15" s="736"/>
      <c r="G15" s="170"/>
      <c r="H15" s="171"/>
      <c r="I15" s="171"/>
      <c r="J15" s="171"/>
      <c r="K15" s="171"/>
      <c r="L15" s="171"/>
      <c r="M15" s="172"/>
      <c r="N15" s="171"/>
      <c r="O15" s="171"/>
      <c r="P15" s="171"/>
      <c r="Q15" s="171"/>
      <c r="R15" s="1459" t="s">
        <v>32</v>
      </c>
      <c r="S15" s="1460">
        <v>1</v>
      </c>
      <c r="T15" s="738">
        <f>SUM(T10:T14)</f>
        <v>0</v>
      </c>
      <c r="U15" s="821">
        <f t="shared" ref="U15:AE15" si="6">SUM(U10:U14)</f>
        <v>0</v>
      </c>
      <c r="V15" s="1461">
        <f t="shared" si="6"/>
        <v>0</v>
      </c>
      <c r="W15" s="1462">
        <f t="shared" si="6"/>
        <v>0</v>
      </c>
      <c r="X15" s="1463">
        <f t="shared" si="6"/>
        <v>0</v>
      </c>
      <c r="Y15" s="1462">
        <f t="shared" si="6"/>
        <v>0</v>
      </c>
      <c r="Z15" s="1464">
        <f t="shared" si="6"/>
        <v>0</v>
      </c>
      <c r="AA15" s="1462">
        <f t="shared" si="6"/>
        <v>0</v>
      </c>
      <c r="AB15" s="1465">
        <f t="shared" si="6"/>
        <v>0</v>
      </c>
      <c r="AC15" s="1466">
        <f t="shared" si="6"/>
        <v>0</v>
      </c>
      <c r="AD15" s="1465">
        <f t="shared" si="6"/>
        <v>0</v>
      </c>
      <c r="AE15" s="1465">
        <f t="shared" si="6"/>
        <v>0</v>
      </c>
      <c r="AF15" s="1467">
        <f>SUM(AF10:AF14)</f>
        <v>0</v>
      </c>
      <c r="AG15" s="1468">
        <f>SUM(AG10:AG14)</f>
        <v>0</v>
      </c>
      <c r="AH15" s="1225"/>
      <c r="AI15" s="713">
        <v>525</v>
      </c>
      <c r="AJ15" s="757">
        <f>AI15^0.75*0.53</f>
        <v>58.129333996458953</v>
      </c>
      <c r="AK15" s="757">
        <f>AI15</f>
        <v>525</v>
      </c>
      <c r="AL15" s="713">
        <v>20.100000000000001</v>
      </c>
      <c r="AM15" s="713">
        <v>30.8</v>
      </c>
      <c r="AN15" s="713">
        <v>44.4</v>
      </c>
      <c r="AU15" s="757">
        <f>AL15/AU$7*1000</f>
        <v>33.5</v>
      </c>
      <c r="AV15" s="757">
        <f>AM15/AV$7*1000</f>
        <v>38.5</v>
      </c>
      <c r="AW15" s="757">
        <f>AN15/AW$7*1000</f>
        <v>44.4</v>
      </c>
      <c r="AX15" s="757"/>
      <c r="AY15" s="757"/>
      <c r="AZ15" s="757"/>
      <c r="BA15" s="757">
        <f>MEDIAN(AU15:AZ15)</f>
        <v>38.5</v>
      </c>
      <c r="BB15" s="757"/>
      <c r="BC15" s="757"/>
      <c r="BD15" s="757"/>
      <c r="BE15" s="757"/>
      <c r="BF15" s="757"/>
      <c r="BG15" s="757"/>
      <c r="BH15" s="757"/>
      <c r="BI15" s="757"/>
      <c r="BJ15" s="757"/>
      <c r="BK15" s="757"/>
      <c r="BL15" s="757"/>
      <c r="BM15" s="713">
        <f>AI15</f>
        <v>525</v>
      </c>
      <c r="BN15" s="756">
        <f t="shared" ref="BN15:BS15" si="7">(-19.7+4.55*LN($BM15)+0.00066*BN$7)*$U$5</f>
        <v>9.1944620947918878</v>
      </c>
      <c r="BO15" s="756">
        <f t="shared" si="7"/>
        <v>9.3264620947918875</v>
      </c>
      <c r="BP15" s="756">
        <f t="shared" si="7"/>
        <v>9.4584620947918872</v>
      </c>
      <c r="BQ15" s="756">
        <f t="shared" si="7"/>
        <v>9.5904620947918868</v>
      </c>
      <c r="BR15" s="756">
        <f t="shared" si="7"/>
        <v>9.7224620947918865</v>
      </c>
      <c r="BS15" s="756">
        <f t="shared" si="7"/>
        <v>9.8544620947918879</v>
      </c>
      <c r="BT15" s="756"/>
      <c r="BU15" s="713">
        <f>BM15</f>
        <v>525</v>
      </c>
      <c r="BV15" s="756">
        <f>AU15/BN15</f>
        <v>3.6434975373900063</v>
      </c>
      <c r="BW15" s="756">
        <f>AV15/BO15</f>
        <v>4.1280390794167587</v>
      </c>
      <c r="BX15" s="756">
        <f>AW15/BP15</f>
        <v>4.694209222918805</v>
      </c>
      <c r="BY15" s="756"/>
      <c r="BZ15" s="756"/>
      <c r="CA15" s="756"/>
      <c r="CE15" s="774"/>
      <c r="CF15" s="774"/>
      <c r="CG15" s="774"/>
      <c r="CH15" s="774"/>
      <c r="CI15" s="774"/>
      <c r="CJ15" s="774"/>
      <c r="CK15" s="774"/>
      <c r="CL15" s="774"/>
      <c r="CM15" s="774"/>
    </row>
    <row r="16" spans="1:96" s="713" customFormat="1" ht="18.75" customHeight="1" thickBot="1" x14ac:dyDescent="0.25">
      <c r="A16" s="1231"/>
      <c r="B16" s="739"/>
      <c r="C16" s="867"/>
      <c r="D16" s="721" t="s">
        <v>291</v>
      </c>
      <c r="E16" s="722"/>
      <c r="F16" s="740"/>
      <c r="G16" s="170"/>
      <c r="H16" s="171"/>
      <c r="I16" s="171"/>
      <c r="J16" s="171"/>
      <c r="K16" s="172"/>
      <c r="L16" s="172"/>
      <c r="M16" s="741"/>
      <c r="N16" s="174"/>
      <c r="O16" s="172"/>
      <c r="P16" s="172"/>
      <c r="Q16" s="172"/>
      <c r="R16" s="172"/>
      <c r="S16" s="172">
        <v>1</v>
      </c>
      <c r="T16" s="737" t="s">
        <v>167</v>
      </c>
      <c r="U16" s="822" t="str">
        <f>IF(U15=0,"",U15/T15)</f>
        <v/>
      </c>
      <c r="V16" s="817">
        <f>IF($U15=0,0,V15/$U15)</f>
        <v>0</v>
      </c>
      <c r="W16" s="817">
        <f t="shared" ref="W16:AF16" si="8">IF($U15=0,0,W15/$U15)</f>
        <v>0</v>
      </c>
      <c r="X16" s="817">
        <f t="shared" si="8"/>
        <v>0</v>
      </c>
      <c r="Y16" s="817">
        <f t="shared" si="8"/>
        <v>0</v>
      </c>
      <c r="Z16" s="817">
        <f t="shared" si="8"/>
        <v>0</v>
      </c>
      <c r="AA16" s="817">
        <f t="shared" si="8"/>
        <v>0</v>
      </c>
      <c r="AB16" s="817">
        <f t="shared" si="8"/>
        <v>0</v>
      </c>
      <c r="AC16" s="817">
        <f t="shared" si="8"/>
        <v>0</v>
      </c>
      <c r="AD16" s="817">
        <f t="shared" si="8"/>
        <v>0</v>
      </c>
      <c r="AE16" s="817">
        <f t="shared" si="8"/>
        <v>0</v>
      </c>
      <c r="AF16" s="817">
        <f t="shared" si="8"/>
        <v>0</v>
      </c>
      <c r="AG16" s="1469">
        <f>IF(U15=0,0,AG15/$U15)</f>
        <v>0</v>
      </c>
      <c r="AH16" s="1225"/>
      <c r="CE16" s="774"/>
      <c r="CF16" s="774"/>
      <c r="CG16" s="774"/>
      <c r="CH16" s="774"/>
      <c r="CI16" s="774"/>
      <c r="CJ16" s="774"/>
      <c r="CK16" s="774"/>
      <c r="CL16" s="774"/>
      <c r="CM16" s="774"/>
    </row>
    <row r="17" spans="1:91" s="713" customFormat="1" ht="18.75" customHeight="1" thickBot="1" x14ac:dyDescent="0.25">
      <c r="A17" s="1231"/>
      <c r="B17" s="174"/>
      <c r="C17" s="867"/>
      <c r="D17" s="742"/>
      <c r="E17" s="743"/>
      <c r="F17" s="744"/>
      <c r="G17" s="170"/>
      <c r="H17" s="171"/>
      <c r="I17" s="171"/>
      <c r="J17" s="171"/>
      <c r="K17" s="172"/>
      <c r="L17" s="172"/>
      <c r="M17" s="741"/>
      <c r="N17" s="174"/>
      <c r="O17" s="172"/>
      <c r="P17" s="172"/>
      <c r="Q17" s="172"/>
      <c r="R17" s="172"/>
      <c r="S17" s="172"/>
      <c r="T17" s="171"/>
      <c r="U17" s="745"/>
      <c r="V17" s="171"/>
      <c r="W17" s="171"/>
      <c r="X17" s="174"/>
      <c r="Y17" s="741"/>
      <c r="Z17" s="174"/>
      <c r="AA17" s="174"/>
      <c r="AB17" s="174"/>
      <c r="AC17" s="174"/>
      <c r="AD17" s="174"/>
      <c r="AE17" s="174"/>
      <c r="AF17" s="174"/>
      <c r="AG17" s="174"/>
      <c r="AH17" s="1225"/>
      <c r="CE17" s="774"/>
      <c r="CF17" s="774"/>
      <c r="CG17" s="774"/>
      <c r="CH17" s="774"/>
      <c r="CI17" s="774"/>
      <c r="CJ17" s="774"/>
      <c r="CK17" s="774"/>
      <c r="CL17" s="774"/>
      <c r="CM17" s="774"/>
    </row>
    <row r="18" spans="1:91" s="713" customFormat="1" ht="21.75" customHeight="1" x14ac:dyDescent="0.2">
      <c r="A18" s="1231"/>
      <c r="B18" s="859"/>
      <c r="C18" s="93">
        <v>71</v>
      </c>
      <c r="D18" s="726">
        <f>INDEX(Tabelle,$C18,1)</f>
        <v>0</v>
      </c>
      <c r="E18" s="727"/>
      <c r="F18" s="746">
        <f>IF(INDEX(Tabelle,$C18,22)="","",1)</f>
        <v>1</v>
      </c>
      <c r="G18" s="63">
        <f>IF(INDEX(Tabelle,$C18,2)="","fehlt",INDEX(Tabelle,$C18,2)/10)</f>
        <v>1.0000000000000001E-5</v>
      </c>
      <c r="H18" s="729">
        <f>IF(INDEX(Tabelle,$C18,4)="","fehlt",INDEX(Tabelle,$C18,4))</f>
        <v>1E-4</v>
      </c>
      <c r="I18" s="65">
        <f>IF(INDEX(Tabelle,$C18,7)="","fehlt",INDEX(Tabelle,$C18,7))</f>
        <v>1E-4</v>
      </c>
      <c r="J18" s="676">
        <f>IF(INDEX(Tabelle,$C18,8)="","fehlt",INDEX(Tabelle,$C18,8))</f>
        <v>1E-4</v>
      </c>
      <c r="K18" s="65">
        <f>IF(INDEX(Tabelle,$C18,12)="","fehlt",INDEX(Tabelle,$C18,12))</f>
        <v>1E-4</v>
      </c>
      <c r="L18" s="66">
        <f>IF(INDEX(Tabelle,$C18,9)="","fehlt",INDEX(Tabelle,$C18,9))</f>
        <v>1E-4</v>
      </c>
      <c r="M18" s="65">
        <f>IF(INDEX(Tabelle,$C18,10)="","fehlt",INDEX(Tabelle,$C18,10))</f>
        <v>1E-4</v>
      </c>
      <c r="N18" s="686">
        <f>IF(INDEX(Tabelle,$C18,11)="","fehlt",INDEX(Tabelle,$C18,11))</f>
        <v>1E-4</v>
      </c>
      <c r="O18" s="64">
        <f>IF(INDEX(Tabelle,$C18,19)="","fehlt",INDEX(Tabelle,$C18,19))</f>
        <v>1E-4</v>
      </c>
      <c r="P18" s="676">
        <f>IF(INDEX(Tabelle,$C18,20)="","fehlt",INDEX(Tabelle,$C18,20))</f>
        <v>1E-4</v>
      </c>
      <c r="Q18" s="676">
        <f>IF(INDEX(Tabelle,$C18,21)="","fehlt",INDEX(Tabelle,$C18,21))</f>
        <v>1E-4</v>
      </c>
      <c r="R18" s="682">
        <f>IF(INDEX(Tabelle,$C18,22)="","fehlt",INDEX(Tabelle,$C18,22))</f>
        <v>1E-4</v>
      </c>
      <c r="S18" s="1451" t="str">
        <f>IF(INDEX(Tabelle,$C18,25)="","",INDEX(Tabelle,$C18,25)/100)</f>
        <v/>
      </c>
      <c r="T18" s="67">
        <f>IF(G18="",0,IF(Mast_Eingabe=2,B18,B18/G18*100))</f>
        <v>0</v>
      </c>
      <c r="U18" s="825">
        <f>IF(G18="",0,IF(Mast_Eingabe=1,B18,B18*G18/100))</f>
        <v>0</v>
      </c>
      <c r="V18" s="751">
        <f t="shared" ref="V18:AF20" si="9">$U18*H18</f>
        <v>0</v>
      </c>
      <c r="W18" s="679">
        <f t="shared" si="9"/>
        <v>0</v>
      </c>
      <c r="X18" s="679">
        <f t="shared" si="9"/>
        <v>0</v>
      </c>
      <c r="Y18" s="679">
        <f t="shared" si="9"/>
        <v>0</v>
      </c>
      <c r="Z18" s="679">
        <f t="shared" si="9"/>
        <v>0</v>
      </c>
      <c r="AA18" s="679">
        <f t="shared" si="9"/>
        <v>0</v>
      </c>
      <c r="AB18" s="809">
        <f t="shared" si="9"/>
        <v>0</v>
      </c>
      <c r="AC18" s="64">
        <f t="shared" si="9"/>
        <v>0</v>
      </c>
      <c r="AD18" s="676">
        <f t="shared" si="9"/>
        <v>0</v>
      </c>
      <c r="AE18" s="676">
        <f t="shared" si="9"/>
        <v>0</v>
      </c>
      <c r="AF18" s="682">
        <f t="shared" si="9"/>
        <v>0</v>
      </c>
      <c r="AG18" s="1452" t="str">
        <f>IF(S18="","",$T18*S18)</f>
        <v/>
      </c>
      <c r="AH18" s="1225"/>
      <c r="CE18" s="774"/>
      <c r="CF18" s="774"/>
      <c r="CG18" s="774"/>
      <c r="CH18" s="780"/>
      <c r="CI18" s="774"/>
      <c r="CJ18" s="774"/>
      <c r="CK18" s="774"/>
      <c r="CL18" s="774"/>
      <c r="CM18" s="774"/>
    </row>
    <row r="19" spans="1:91" s="713" customFormat="1" ht="21.75" customHeight="1" x14ac:dyDescent="0.2">
      <c r="A19" s="1231"/>
      <c r="B19" s="860"/>
      <c r="C19" s="1234">
        <v>127</v>
      </c>
      <c r="D19" s="730">
        <f>INDEX(Tabelle,$C19,1)</f>
        <v>0</v>
      </c>
      <c r="E19" s="1235"/>
      <c r="F19" s="731">
        <f>IF(INDEX(Tabelle,$C19,22)="","",1)</f>
        <v>1</v>
      </c>
      <c r="G19" s="71">
        <f>IF(INDEX(Tabelle,$C19,2)="","fehlt",INDEX(Tabelle,$C19,2)/10)</f>
        <v>1.0000000000000001E-5</v>
      </c>
      <c r="H19" s="751">
        <f>IF(INDEX(Tabelle,$C19,4)="","fehlt",INDEX(Tabelle,$C19,4))</f>
        <v>1E-4</v>
      </c>
      <c r="I19" s="680">
        <f>IF(INDEX(Tabelle,$C19,7)="","fehlt",INDEX(Tabelle,$C19,7))</f>
        <v>1E-4</v>
      </c>
      <c r="J19" s="679">
        <f>IF(INDEX(Tabelle,$C19,8)="","fehlt",INDEX(Tabelle,$C19,8))</f>
        <v>1E-4</v>
      </c>
      <c r="K19" s="680">
        <f>IF(INDEX(Tabelle,$C19,12)="","fehlt",INDEX(Tabelle,$C19,12))</f>
        <v>1E-4</v>
      </c>
      <c r="L19" s="681">
        <f>IF(INDEX(Tabelle,$C19,9)="","fehlt",INDEX(Tabelle,$C19,9))</f>
        <v>1E-4</v>
      </c>
      <c r="M19" s="680">
        <f>IF(INDEX(Tabelle,$C19,10)="","fehlt",INDEX(Tabelle,$C19,10))</f>
        <v>1E-4</v>
      </c>
      <c r="N19" s="687">
        <f>IF(INDEX(Tabelle,$C19,11)="","fehlt",INDEX(Tabelle,$C19,11))</f>
        <v>1E-4</v>
      </c>
      <c r="O19" s="72">
        <f>IF(INDEX(Tabelle,$C19,19)="","fehlt",INDEX(Tabelle,$C19,19))</f>
        <v>1E-4</v>
      </c>
      <c r="P19" s="679">
        <f>IF(INDEX(Tabelle,$C19,20)="","fehlt",INDEX(Tabelle,$C19,20))</f>
        <v>1E-4</v>
      </c>
      <c r="Q19" s="679">
        <f>IF(INDEX(Tabelle,$C19,21)="","fehlt",INDEX(Tabelle,$C19,21))</f>
        <v>1E-4</v>
      </c>
      <c r="R19" s="683">
        <f>IF(INDEX(Tabelle,$C19,22)="","fehlt",INDEX(Tabelle,$C19,22))</f>
        <v>1E-4</v>
      </c>
      <c r="S19" s="1452" t="str">
        <f>IF(INDEX(Tabelle,$C19,25)="","",INDEX(Tabelle,$C19,25)/100)</f>
        <v/>
      </c>
      <c r="T19" s="85">
        <f>IF(G19="",0,IF(Mast_Eingabe=2,B19,B19/G19*100))</f>
        <v>0</v>
      </c>
      <c r="U19" s="820">
        <f>IF(G19="",0,IF(Mast_Eingabe=1,B19,B19*G19/100))</f>
        <v>0</v>
      </c>
      <c r="V19" s="751">
        <f t="shared" si="9"/>
        <v>0</v>
      </c>
      <c r="W19" s="679">
        <f t="shared" si="9"/>
        <v>0</v>
      </c>
      <c r="X19" s="679">
        <f t="shared" si="9"/>
        <v>0</v>
      </c>
      <c r="Y19" s="679">
        <f t="shared" si="9"/>
        <v>0</v>
      </c>
      <c r="Z19" s="679">
        <f t="shared" si="9"/>
        <v>0</v>
      </c>
      <c r="AA19" s="679">
        <f t="shared" si="9"/>
        <v>0</v>
      </c>
      <c r="AB19" s="809">
        <f t="shared" si="9"/>
        <v>0</v>
      </c>
      <c r="AC19" s="72">
        <f t="shared" si="9"/>
        <v>0</v>
      </c>
      <c r="AD19" s="679">
        <f t="shared" si="9"/>
        <v>0</v>
      </c>
      <c r="AE19" s="679">
        <f t="shared" si="9"/>
        <v>0</v>
      </c>
      <c r="AF19" s="683">
        <f t="shared" si="9"/>
        <v>0</v>
      </c>
      <c r="AG19" s="1452" t="str">
        <f>IF(S19="","",$T19*S19)</f>
        <v/>
      </c>
      <c r="AH19" s="1225"/>
      <c r="CE19" s="774"/>
      <c r="CF19" s="774"/>
      <c r="CG19" s="774"/>
      <c r="CH19" s="774"/>
      <c r="CI19" s="774"/>
      <c r="CJ19" s="774"/>
      <c r="CK19" s="774"/>
      <c r="CL19" s="774"/>
      <c r="CM19" s="774"/>
    </row>
    <row r="20" spans="1:91" s="713" customFormat="1" ht="21.75" customHeight="1" thickBot="1" x14ac:dyDescent="0.25">
      <c r="A20" s="1231"/>
      <c r="B20" s="861"/>
      <c r="C20" s="94">
        <v>127</v>
      </c>
      <c r="D20" s="732">
        <f>INDEX(Tabelle,$C20,1)</f>
        <v>0</v>
      </c>
      <c r="E20" s="733"/>
      <c r="F20" s="734">
        <f>IF(INDEX(Tabelle,$C20,22)="","",1)</f>
        <v>1</v>
      </c>
      <c r="G20" s="76">
        <f>IF(INDEX(Tabelle,$C20,2)="","fehlt",INDEX(Tabelle,$C20,2)/10)</f>
        <v>1.0000000000000001E-5</v>
      </c>
      <c r="H20" s="735">
        <f>IF(INDEX(Tabelle,$C20,4)="","fehlt",INDEX(Tabelle,$C20,4))</f>
        <v>1E-4</v>
      </c>
      <c r="I20" s="78">
        <f>IF(INDEX(Tabelle,$C20,7)="","fehlt",INDEX(Tabelle,$C20,7))</f>
        <v>1E-4</v>
      </c>
      <c r="J20" s="684">
        <f>IF(INDEX(Tabelle,$C20,8)="","fehlt",INDEX(Tabelle,$C20,8))</f>
        <v>1E-4</v>
      </c>
      <c r="K20" s="78">
        <f>IF(INDEX(Tabelle,$C20,12)="","fehlt",INDEX(Tabelle,$C20,12))</f>
        <v>1E-4</v>
      </c>
      <c r="L20" s="80">
        <f>IF(INDEX(Tabelle,$C20,9)="","fehlt",INDEX(Tabelle,$C20,9))</f>
        <v>1E-4</v>
      </c>
      <c r="M20" s="78">
        <f>IF(INDEX(Tabelle,$C20,10)="","fehlt",INDEX(Tabelle,$C20,10))</f>
        <v>1E-4</v>
      </c>
      <c r="N20" s="688">
        <f>IF(INDEX(Tabelle,$C20,11)="","fehlt",INDEX(Tabelle,$C20,11))</f>
        <v>1E-4</v>
      </c>
      <c r="O20" s="77">
        <f>IF(INDEX(Tabelle,$C20,19)="","fehlt",INDEX(Tabelle,$C20,19))</f>
        <v>1E-4</v>
      </c>
      <c r="P20" s="684">
        <f>IF(INDEX(Tabelle,$C20,20)="","fehlt",INDEX(Tabelle,$C20,20))</f>
        <v>1E-4</v>
      </c>
      <c r="Q20" s="684">
        <f>IF(INDEX(Tabelle,$C20,21)="","fehlt",INDEX(Tabelle,$C20,21))</f>
        <v>1E-4</v>
      </c>
      <c r="R20" s="685">
        <f>IF(INDEX(Tabelle,$C20,22)="","fehlt",INDEX(Tabelle,$C20,22))</f>
        <v>1E-4</v>
      </c>
      <c r="S20" s="1453" t="str">
        <f>IF(INDEX(Tabelle,$C20,25)="","",INDEX(Tabelle,$C20,25)/100)</f>
        <v/>
      </c>
      <c r="T20" s="829">
        <f>IF(G20="",0,IF(Mast_Eingabe=2,B20,B20/G20*100))</f>
        <v>0</v>
      </c>
      <c r="U20" s="830">
        <f>IF(G20="",0,IF(Mast_Eingabe=1,B20,B20*G20/100))</f>
        <v>0</v>
      </c>
      <c r="V20" s="823">
        <f t="shared" si="9"/>
        <v>0</v>
      </c>
      <c r="W20" s="1236">
        <f t="shared" si="9"/>
        <v>0</v>
      </c>
      <c r="X20" s="1236">
        <f t="shared" si="9"/>
        <v>0</v>
      </c>
      <c r="Y20" s="1236">
        <f t="shared" si="9"/>
        <v>0</v>
      </c>
      <c r="Z20" s="1236">
        <f t="shared" si="9"/>
        <v>0</v>
      </c>
      <c r="AA20" s="1236">
        <f t="shared" si="9"/>
        <v>0</v>
      </c>
      <c r="AB20" s="810">
        <f t="shared" si="9"/>
        <v>0</v>
      </c>
      <c r="AC20" s="77">
        <f t="shared" si="9"/>
        <v>0</v>
      </c>
      <c r="AD20" s="684">
        <f t="shared" si="9"/>
        <v>0</v>
      </c>
      <c r="AE20" s="684">
        <f t="shared" si="9"/>
        <v>0</v>
      </c>
      <c r="AF20" s="685">
        <f t="shared" si="9"/>
        <v>0</v>
      </c>
      <c r="AG20" s="1455" t="str">
        <f>IF(S20="","",$T20*S20)</f>
        <v/>
      </c>
      <c r="AH20" s="1225"/>
      <c r="AK20" s="763" t="s">
        <v>77</v>
      </c>
      <c r="AL20" s="713">
        <v>18.128499999999999</v>
      </c>
      <c r="AM20" s="713">
        <v>21.206099999999999</v>
      </c>
      <c r="AN20" s="713">
        <v>26.123100000000001</v>
      </c>
      <c r="AO20" s="713">
        <v>30.767399999999999</v>
      </c>
      <c r="AP20" s="713">
        <v>35.812800000000003</v>
      </c>
      <c r="CE20" s="774"/>
      <c r="CF20" s="774"/>
      <c r="CG20" s="774"/>
      <c r="CH20" s="774"/>
      <c r="CI20" s="774"/>
      <c r="CJ20" s="774"/>
      <c r="CK20" s="774"/>
      <c r="CL20" s="774"/>
      <c r="CM20" s="774"/>
    </row>
    <row r="21" spans="1:91" s="713" customFormat="1" ht="18.75" hidden="1" customHeight="1" thickBot="1" x14ac:dyDescent="0.25">
      <c r="A21" s="1231"/>
      <c r="B21" s="172"/>
      <c r="C21" s="868"/>
      <c r="D21" s="172"/>
      <c r="E21" s="172"/>
      <c r="F21" s="172"/>
      <c r="G21" s="172"/>
      <c r="H21" s="172"/>
      <c r="I21" s="172"/>
      <c r="J21" s="172"/>
      <c r="K21" s="172"/>
      <c r="L21" s="172"/>
      <c r="M21" s="172"/>
      <c r="N21" s="172"/>
      <c r="O21" s="172"/>
      <c r="P21" s="172"/>
      <c r="Q21" s="172"/>
      <c r="R21" s="844"/>
      <c r="S21" s="844"/>
      <c r="T21" s="829"/>
      <c r="U21" s="830">
        <f>SUM(U18:U20)</f>
        <v>0</v>
      </c>
      <c r="V21" s="845">
        <f>IF(U21=0,0,SUM(V18:V20)/U21)</f>
        <v>0</v>
      </c>
      <c r="W21" s="845">
        <f>IF(U21=0,0,SUM(W18:W20)/U21)</f>
        <v>0</v>
      </c>
      <c r="X21" s="801"/>
      <c r="Y21" s="801"/>
      <c r="Z21" s="801"/>
      <c r="AA21" s="801"/>
      <c r="AB21" s="846"/>
      <c r="AC21" s="816"/>
      <c r="AD21" s="800"/>
      <c r="AE21" s="800"/>
      <c r="AF21" s="847"/>
      <c r="AG21" s="1468">
        <f>SUM(AG16:AG20)</f>
        <v>0</v>
      </c>
      <c r="AH21" s="1225"/>
      <c r="AK21" s="763"/>
      <c r="CE21" s="774"/>
      <c r="CF21" s="774"/>
      <c r="CG21" s="774"/>
      <c r="CH21" s="774"/>
      <c r="CI21" s="774"/>
      <c r="CJ21" s="774"/>
      <c r="CK21" s="774"/>
      <c r="CL21" s="774"/>
      <c r="CM21" s="774"/>
    </row>
    <row r="22" spans="1:91" s="713" customFormat="1" ht="18.75" customHeight="1" thickBot="1" x14ac:dyDescent="0.25">
      <c r="A22" s="1231"/>
      <c r="B22" s="172"/>
      <c r="C22" s="868"/>
      <c r="D22" s="172"/>
      <c r="E22" s="172"/>
      <c r="F22" s="172"/>
      <c r="G22" s="172"/>
      <c r="H22" s="172"/>
      <c r="I22" s="172"/>
      <c r="J22" s="172"/>
      <c r="K22" s="172"/>
      <c r="L22" s="172"/>
      <c r="M22" s="172"/>
      <c r="N22" s="172"/>
      <c r="O22" s="172"/>
      <c r="P22" s="172"/>
      <c r="Q22" s="172"/>
      <c r="R22" s="742" t="s">
        <v>32</v>
      </c>
      <c r="S22" s="742">
        <v>1</v>
      </c>
      <c r="T22" s="805">
        <f t="shared" ref="T22:AE22" si="10">SUM(T18:T20,T10:T14)</f>
        <v>0</v>
      </c>
      <c r="U22" s="826">
        <f t="shared" si="10"/>
        <v>0</v>
      </c>
      <c r="V22" s="824">
        <f t="shared" si="10"/>
        <v>0</v>
      </c>
      <c r="W22" s="807">
        <f t="shared" si="10"/>
        <v>0</v>
      </c>
      <c r="X22" s="806">
        <f t="shared" si="10"/>
        <v>0</v>
      </c>
      <c r="Y22" s="807">
        <f t="shared" si="10"/>
        <v>0</v>
      </c>
      <c r="Z22" s="807">
        <f t="shared" si="10"/>
        <v>0</v>
      </c>
      <c r="AA22" s="807">
        <f t="shared" si="10"/>
        <v>0</v>
      </c>
      <c r="AB22" s="807">
        <f t="shared" si="10"/>
        <v>0</v>
      </c>
      <c r="AC22" s="807">
        <f t="shared" si="10"/>
        <v>0</v>
      </c>
      <c r="AD22" s="807">
        <f t="shared" si="10"/>
        <v>0</v>
      </c>
      <c r="AE22" s="807">
        <f t="shared" si="10"/>
        <v>0</v>
      </c>
      <c r="AF22" s="808">
        <f>SUM(AF18:AF20,AF10:AF14)</f>
        <v>0</v>
      </c>
      <c r="AG22" s="826">
        <f>SUM(AG18:AG20)</f>
        <v>0</v>
      </c>
      <c r="AH22" s="1225"/>
      <c r="AK22" s="763" t="s">
        <v>305</v>
      </c>
      <c r="AL22" s="713">
        <v>5.8399999999999999E-4</v>
      </c>
      <c r="AM22" s="713">
        <v>6.5300000000000004E-4</v>
      </c>
      <c r="AN22" s="713">
        <v>6.0999999999999997E-4</v>
      </c>
      <c r="AO22" s="713">
        <v>4.15E-4</v>
      </c>
      <c r="AP22" s="713">
        <v>3.6000000000000002E-4</v>
      </c>
      <c r="CE22" s="774"/>
      <c r="CF22" s="774"/>
      <c r="CG22" s="774"/>
      <c r="CH22" s="774"/>
      <c r="CI22" s="774"/>
      <c r="CJ22" s="774"/>
      <c r="CK22" s="774"/>
      <c r="CL22" s="774"/>
      <c r="CM22" s="774"/>
    </row>
    <row r="23" spans="1:91" s="713" customFormat="1" ht="18.75" customHeight="1" thickBot="1" x14ac:dyDescent="0.25">
      <c r="A23" s="1231"/>
      <c r="B23" s="172"/>
      <c r="C23" s="868"/>
      <c r="D23" s="172"/>
      <c r="E23" s="172"/>
      <c r="F23" s="172"/>
      <c r="G23" s="172"/>
      <c r="H23" s="172"/>
      <c r="I23" s="172"/>
      <c r="J23" s="172"/>
      <c r="K23" s="172"/>
      <c r="L23" s="172"/>
      <c r="M23" s="172"/>
      <c r="N23" s="172"/>
      <c r="O23" s="172"/>
      <c r="P23" s="172"/>
      <c r="Q23" s="172"/>
      <c r="R23" s="766" t="str">
        <f>"Bedarf bei "&amp;U3&amp;" kg LM"</f>
        <v>Bedarf bei 350 kg LM</v>
      </c>
      <c r="S23" s="1447"/>
      <c r="T23" s="770"/>
      <c r="U23" s="828">
        <f>IF(Mast_GF_TM1=0,0,IF(Mast_Rasse=3,4.4*LN(Mast_LM)+$V$24*1.06-28.7,0.173+0.01372*Mast_LM+1.47*Mast_LMZ/1000)*$U$5)</f>
        <v>0</v>
      </c>
      <c r="V23" s="827">
        <f>Mast_LM^0.75*0.53+IF(Mast_Rasse=1,Mast_LMZ/1000*(11.8738*EXP(0.00232*Mast_LM)),IF(Mast_Rasse=2,Mast_LMZ/1000*(21.156*EXP(0.00065*Mast_LM)),Mast_LMZ/1000*(12.0882*EXP(0.00248*Mast_LM))))</f>
        <v>65.923767187912915</v>
      </c>
      <c r="W23" s="802">
        <f>Mast_LM^0.524*16.9+IF(Mast_Rasse=1,Mast_LMZ/1000*(369+0.249*Mast_LM-0.0004*Mast_LM^2),IF(Mast_Rasse=2,Mast_LMZ/1000*(Mast_LM^0.1435*193),Mast_LMZ/1000*(264+0.492*Mast_LM-0.00103*Mast_LM^2)))</f>
        <v>611.91690331887958</v>
      </c>
      <c r="X23" s="803">
        <f>(-19.7+4.55*LN($U$3)+0.00066*$U$4)*X5</f>
        <v>0</v>
      </c>
      <c r="Y23" s="803" t="str">
        <f>"&lt; "&amp;ROUND($U22*400,0)</f>
        <v>&lt; 0</v>
      </c>
      <c r="Z23" s="803" t="str">
        <f>"&gt; "&amp;ROUND($U22*1.2,1)</f>
        <v>&gt; 0</v>
      </c>
      <c r="AA23" s="803" t="str">
        <f>"&gt; "&amp;ROUND($U22*195,0)</f>
        <v>&gt; 0</v>
      </c>
      <c r="AB23" s="804" t="str">
        <f>"&gt; "&amp;ROUND($U22*320,0)</f>
        <v>&gt; 0</v>
      </c>
      <c r="AC23" s="848">
        <f>U23*2+0.0212*Mast_LMZ+5.8</f>
        <v>22.76</v>
      </c>
      <c r="AD23" s="849">
        <f>U23*1.4+Mast_LMZ*0.0095+1.3</f>
        <v>8.9</v>
      </c>
      <c r="AE23" s="849">
        <f>U23*1+Mast_LMZ*0.0024+0.1</f>
        <v>2.02</v>
      </c>
      <c r="AF23" s="850">
        <f>U23*0.7+Mast_LMZ*0.0017</f>
        <v>1.3599999999999999</v>
      </c>
      <c r="AG23" s="850" t="s">
        <v>471</v>
      </c>
      <c r="AH23" s="1225"/>
      <c r="AI23" s="692" t="s">
        <v>295</v>
      </c>
      <c r="AJ23" s="692" t="s">
        <v>274</v>
      </c>
      <c r="AK23" s="692" t="s">
        <v>299</v>
      </c>
      <c r="AL23" s="692">
        <f>AL20*EXP(AL22*$U$3)</f>
        <v>22.239840232073725</v>
      </c>
      <c r="AM23" s="692">
        <f>AM20*EXP(AM22*$U$3)</f>
        <v>26.651325218246846</v>
      </c>
      <c r="AN23" s="692">
        <f>AN20*EXP(AN22*$U$3)</f>
        <v>32.340489185607041</v>
      </c>
      <c r="AO23" s="692">
        <f>AO20*EXP(AO22*$U$3)</f>
        <v>35.577225068835894</v>
      </c>
      <c r="AP23" s="692">
        <f>AP20*EXP(AP22*$U$3)</f>
        <v>40.62182043628632</v>
      </c>
      <c r="AQ23" s="692"/>
      <c r="AR23" s="692"/>
      <c r="AS23" s="692"/>
      <c r="AT23" s="692"/>
      <c r="AU23" s="758"/>
      <c r="AV23" s="758"/>
      <c r="AW23" s="692"/>
      <c r="AX23" s="692"/>
      <c r="AY23" s="692"/>
      <c r="AZ23" s="692"/>
      <c r="BA23" s="692"/>
      <c r="BB23" s="692"/>
      <c r="BC23" s="692"/>
      <c r="BD23" s="692"/>
      <c r="BE23" s="692"/>
      <c r="BF23" s="692"/>
      <c r="BG23" s="692"/>
      <c r="BH23" s="692"/>
      <c r="BI23" s="692"/>
      <c r="BJ23" s="692"/>
      <c r="BK23" s="692"/>
      <c r="BL23" s="692"/>
      <c r="BM23" s="692"/>
      <c r="BN23" s="692" t="s">
        <v>300</v>
      </c>
      <c r="BO23" s="692"/>
      <c r="BP23" s="692"/>
      <c r="BQ23" s="692"/>
      <c r="BR23" s="692"/>
      <c r="BS23" s="692"/>
      <c r="BT23" s="692"/>
      <c r="BU23" s="692" t="s">
        <v>301</v>
      </c>
      <c r="BV23" s="692"/>
      <c r="BW23" s="692"/>
      <c r="BX23" s="692"/>
      <c r="BY23" s="692"/>
      <c r="BZ23" s="692"/>
      <c r="CA23" s="692"/>
      <c r="CE23" s="774"/>
      <c r="CF23" s="774"/>
      <c r="CG23" s="774"/>
      <c r="CH23" s="774"/>
      <c r="CI23" s="774"/>
      <c r="CJ23" s="774"/>
      <c r="CK23" s="774"/>
      <c r="CL23" s="774"/>
      <c r="CM23" s="774"/>
    </row>
    <row r="24" spans="1:91" s="713" customFormat="1" ht="18.75" customHeight="1" thickBot="1" x14ac:dyDescent="0.25">
      <c r="A24" s="1231"/>
      <c r="B24" s="172"/>
      <c r="C24" s="868"/>
      <c r="D24" s="172"/>
      <c r="E24" s="172"/>
      <c r="F24" s="172"/>
      <c r="G24" s="172"/>
      <c r="H24" s="172"/>
      <c r="I24" s="172"/>
      <c r="J24" s="172"/>
      <c r="K24" s="172"/>
      <c r="L24" s="172"/>
      <c r="M24" s="172"/>
      <c r="N24" s="172"/>
      <c r="O24" s="172"/>
      <c r="P24" s="172"/>
      <c r="Q24" s="172"/>
      <c r="R24" s="1528" t="s">
        <v>167</v>
      </c>
      <c r="S24" s="1529"/>
      <c r="T24" s="1530"/>
      <c r="U24" s="822" t="str">
        <f>IF(U22=0,"",U22/T22)</f>
        <v/>
      </c>
      <c r="V24" s="851">
        <f>IF($U22=0,0,ROUND(V22/$U22,2))</f>
        <v>0</v>
      </c>
      <c r="W24" s="851">
        <f t="shared" ref="W24:AF24" si="11">IF($U22=0,0,ROUND(W22/$U22,2))</f>
        <v>0</v>
      </c>
      <c r="X24" s="851">
        <f t="shared" si="11"/>
        <v>0</v>
      </c>
      <c r="Y24" s="851">
        <f t="shared" si="11"/>
        <v>0</v>
      </c>
      <c r="Z24" s="851">
        <f t="shared" si="11"/>
        <v>0</v>
      </c>
      <c r="AA24" s="851">
        <f t="shared" si="11"/>
        <v>0</v>
      </c>
      <c r="AB24" s="851">
        <f t="shared" si="11"/>
        <v>0</v>
      </c>
      <c r="AC24" s="851">
        <f t="shared" si="11"/>
        <v>0</v>
      </c>
      <c r="AD24" s="851">
        <f t="shared" si="11"/>
        <v>0</v>
      </c>
      <c r="AE24" s="851">
        <f t="shared" si="11"/>
        <v>0</v>
      </c>
      <c r="AF24" s="851">
        <f t="shared" si="11"/>
        <v>0</v>
      </c>
      <c r="AG24" s="1470">
        <f>IF(AG22=0,0,AG22/SUM(U18:U20))</f>
        <v>0</v>
      </c>
      <c r="AH24" s="1225"/>
      <c r="AI24" s="713" t="s">
        <v>296</v>
      </c>
      <c r="AJ24" s="713" t="s">
        <v>297</v>
      </c>
      <c r="AL24" s="713">
        <v>800</v>
      </c>
      <c r="AM24" s="713">
        <v>1000</v>
      </c>
      <c r="AN24" s="713">
        <v>1200</v>
      </c>
      <c r="AO24" s="713">
        <v>1400</v>
      </c>
      <c r="AP24" s="713">
        <v>1600</v>
      </c>
      <c r="AU24" s="713">
        <f>AL24</f>
        <v>800</v>
      </c>
      <c r="AV24" s="713">
        <f>AM24</f>
        <v>1000</v>
      </c>
      <c r="AW24" s="713">
        <f>AN24</f>
        <v>1200</v>
      </c>
      <c r="AX24" s="713">
        <f>AO24</f>
        <v>1400</v>
      </c>
      <c r="AY24" s="713">
        <f>AP24</f>
        <v>1600</v>
      </c>
      <c r="AZ24" s="762" t="s">
        <v>347</v>
      </c>
      <c r="BN24" s="713">
        <f>AU24</f>
        <v>800</v>
      </c>
      <c r="BO24" s="713">
        <f>AV24</f>
        <v>1000</v>
      </c>
      <c r="BP24" s="713">
        <f>AW24</f>
        <v>1200</v>
      </c>
      <c r="BQ24" s="713">
        <f>AX24</f>
        <v>1400</v>
      </c>
      <c r="BR24" s="713">
        <f>AY24</f>
        <v>1600</v>
      </c>
      <c r="BS24" s="713">
        <v>1600</v>
      </c>
      <c r="BV24" s="713">
        <f>BN24</f>
        <v>800</v>
      </c>
      <c r="BW24" s="713">
        <f>BO24</f>
        <v>1000</v>
      </c>
      <c r="BX24" s="713">
        <f>BP24</f>
        <v>1200</v>
      </c>
      <c r="BY24" s="713">
        <f>BQ24</f>
        <v>1400</v>
      </c>
      <c r="BZ24" s="713">
        <f>BR24</f>
        <v>1600</v>
      </c>
      <c r="CE24" s="774"/>
      <c r="CF24" s="774"/>
      <c r="CG24" s="774"/>
      <c r="CH24" s="774"/>
      <c r="CI24" s="774"/>
      <c r="CJ24" s="774"/>
      <c r="CK24" s="774"/>
      <c r="CL24" s="774"/>
      <c r="CM24" s="774"/>
    </row>
    <row r="25" spans="1:91" s="713" customFormat="1" ht="18.75" customHeight="1" x14ac:dyDescent="0.2">
      <c r="A25" s="1231"/>
      <c r="B25" s="172"/>
      <c r="C25" s="868"/>
      <c r="D25" s="172"/>
      <c r="E25" s="172"/>
      <c r="F25" s="172"/>
      <c r="G25" s="172"/>
      <c r="H25" s="172"/>
      <c r="I25" s="172"/>
      <c r="J25" s="172"/>
      <c r="K25" s="172"/>
      <c r="L25" s="172"/>
      <c r="M25" s="172"/>
      <c r="N25" s="172"/>
      <c r="O25" s="172"/>
      <c r="P25" s="172"/>
      <c r="Q25" s="172"/>
      <c r="R25" s="832" t="s">
        <v>293</v>
      </c>
      <c r="S25" s="1448"/>
      <c r="T25" s="831"/>
      <c r="U25" s="831"/>
      <c r="V25" s="854">
        <v>150</v>
      </c>
      <c r="W25" s="837">
        <v>200</v>
      </c>
      <c r="X25" s="837">
        <v>250</v>
      </c>
      <c r="Y25" s="837">
        <v>300</v>
      </c>
      <c r="Z25" s="837">
        <v>350</v>
      </c>
      <c r="AA25" s="837">
        <v>400</v>
      </c>
      <c r="AB25" s="837">
        <v>450</v>
      </c>
      <c r="AC25" s="837">
        <v>500</v>
      </c>
      <c r="AD25" s="837">
        <v>550</v>
      </c>
      <c r="AE25" s="837">
        <v>600</v>
      </c>
      <c r="AF25" s="839">
        <v>650</v>
      </c>
      <c r="AG25" s="172"/>
      <c r="AH25" s="1225"/>
      <c r="AZ25" s="762"/>
      <c r="CE25" s="774"/>
      <c r="CF25" s="774"/>
      <c r="CG25" s="774"/>
      <c r="CH25" s="774"/>
      <c r="CI25" s="774"/>
      <c r="CJ25" s="774"/>
      <c r="CK25" s="774"/>
      <c r="CL25" s="774"/>
      <c r="CM25" s="774"/>
    </row>
    <row r="26" spans="1:91" s="713" customFormat="1" ht="18.75" customHeight="1" x14ac:dyDescent="0.2">
      <c r="A26" s="1231"/>
      <c r="B26" s="172"/>
      <c r="C26" s="868"/>
      <c r="D26" s="172"/>
      <c r="E26" s="172"/>
      <c r="F26" s="172"/>
      <c r="G26" s="172"/>
      <c r="H26" s="172"/>
      <c r="I26" s="172"/>
      <c r="J26" s="172"/>
      <c r="K26" s="172"/>
      <c r="L26" s="172"/>
      <c r="M26" s="172"/>
      <c r="N26" s="172"/>
      <c r="O26" s="172"/>
      <c r="P26" s="172"/>
      <c r="Q26" s="172"/>
      <c r="R26" s="833" t="s">
        <v>294</v>
      </c>
      <c r="S26" s="1449"/>
      <c r="T26" s="834"/>
      <c r="U26" s="834"/>
      <c r="V26" s="855">
        <f t="shared" ref="V26:AF26" si="12">IF($U22=0,0,IF(Mast_Rasse=3,4.4*LN(V25)+$V$24*1.06-28.7,0.173+0.01372*V25+1.47*Mast_LMZ/1000)*$U$5)</f>
        <v>0</v>
      </c>
      <c r="W26" s="838">
        <f t="shared" si="12"/>
        <v>0</v>
      </c>
      <c r="X26" s="838">
        <f t="shared" si="12"/>
        <v>0</v>
      </c>
      <c r="Y26" s="838">
        <f t="shared" si="12"/>
        <v>0</v>
      </c>
      <c r="Z26" s="838">
        <f t="shared" si="12"/>
        <v>0</v>
      </c>
      <c r="AA26" s="838">
        <f t="shared" si="12"/>
        <v>0</v>
      </c>
      <c r="AB26" s="838">
        <f t="shared" si="12"/>
        <v>0</v>
      </c>
      <c r="AC26" s="838">
        <f t="shared" si="12"/>
        <v>0</v>
      </c>
      <c r="AD26" s="838">
        <f t="shared" si="12"/>
        <v>0</v>
      </c>
      <c r="AE26" s="838">
        <f t="shared" si="12"/>
        <v>0</v>
      </c>
      <c r="AF26" s="840">
        <f t="shared" si="12"/>
        <v>0</v>
      </c>
      <c r="AG26" s="172"/>
      <c r="AH26" s="1225"/>
      <c r="AZ26" s="762"/>
      <c r="CE26" s="774"/>
      <c r="CF26" s="774"/>
      <c r="CG26" s="774"/>
      <c r="CH26" s="774"/>
      <c r="CI26" s="774"/>
      <c r="CJ26" s="774"/>
      <c r="CK26" s="774"/>
      <c r="CL26" s="774"/>
      <c r="CM26" s="774"/>
    </row>
    <row r="27" spans="1:91" s="713" customFormat="1" ht="18.75" customHeight="1" x14ac:dyDescent="0.2">
      <c r="A27" s="1231"/>
      <c r="B27" s="172"/>
      <c r="C27" s="868"/>
      <c r="D27" s="172"/>
      <c r="E27" s="172"/>
      <c r="F27" s="172"/>
      <c r="G27" s="172"/>
      <c r="H27" s="172"/>
      <c r="I27" s="172"/>
      <c r="J27" s="172"/>
      <c r="K27" s="172"/>
      <c r="L27" s="172"/>
      <c r="M27" s="172"/>
      <c r="N27" s="172"/>
      <c r="O27" s="172"/>
      <c r="P27" s="172"/>
      <c r="Q27" s="172"/>
      <c r="R27" s="833" t="s">
        <v>355</v>
      </c>
      <c r="S27" s="1449"/>
      <c r="T27" s="834"/>
      <c r="U27" s="834"/>
      <c r="V27" s="856">
        <f t="shared" ref="V27:AF27" si="13">IF($U22=0,0,ROUND(((V26-Mast_KF_TM1)*Mast_GF_ME1+Mast_KF_TM1*Mast_KF_ME1-(V25^0.75*0.53))/(IF(Mast_Rasse=1,11.8738*EXP(0.00232*V25),IF(Mast_Rasse=2,21.156*EXP(0.00065*V25),12.0882*EXP(0.00248*V25))))*1000,-1))</f>
        <v>0</v>
      </c>
      <c r="W27" s="842">
        <f t="shared" si="13"/>
        <v>0</v>
      </c>
      <c r="X27" s="842">
        <f t="shared" si="13"/>
        <v>0</v>
      </c>
      <c r="Y27" s="842">
        <f t="shared" si="13"/>
        <v>0</v>
      </c>
      <c r="Z27" s="842">
        <f t="shared" si="13"/>
        <v>0</v>
      </c>
      <c r="AA27" s="842">
        <f t="shared" si="13"/>
        <v>0</v>
      </c>
      <c r="AB27" s="842">
        <f t="shared" si="13"/>
        <v>0</v>
      </c>
      <c r="AC27" s="842">
        <f t="shared" si="13"/>
        <v>0</v>
      </c>
      <c r="AD27" s="842">
        <f t="shared" si="13"/>
        <v>0</v>
      </c>
      <c r="AE27" s="842">
        <f t="shared" si="13"/>
        <v>0</v>
      </c>
      <c r="AF27" s="843">
        <f t="shared" si="13"/>
        <v>0</v>
      </c>
      <c r="AG27" s="172"/>
      <c r="AH27" s="1225"/>
      <c r="AZ27" s="762"/>
      <c r="CE27" s="774"/>
      <c r="CF27" s="774"/>
      <c r="CG27" s="774"/>
      <c r="CH27" s="774"/>
      <c r="CI27" s="774"/>
      <c r="CJ27" s="774"/>
      <c r="CK27" s="774"/>
      <c r="CL27" s="774"/>
      <c r="CM27" s="774"/>
    </row>
    <row r="28" spans="1:91" s="713" customFormat="1" ht="18.75" customHeight="1" thickBot="1" x14ac:dyDescent="0.25">
      <c r="A28" s="1231"/>
      <c r="B28" s="172"/>
      <c r="C28" s="868"/>
      <c r="D28" s="172"/>
      <c r="E28" s="172"/>
      <c r="F28" s="172"/>
      <c r="G28" s="172"/>
      <c r="H28" s="172"/>
      <c r="I28" s="172"/>
      <c r="J28" s="172"/>
      <c r="K28" s="172"/>
      <c r="L28" s="172"/>
      <c r="M28" s="172"/>
      <c r="N28" s="172"/>
      <c r="O28" s="172"/>
      <c r="P28" s="172"/>
      <c r="Q28" s="172"/>
      <c r="R28" s="835" t="s">
        <v>367</v>
      </c>
      <c r="S28" s="1450"/>
      <c r="T28" s="836"/>
      <c r="U28" s="836"/>
      <c r="V28" s="857">
        <f t="shared" ref="V28:AF28" si="14">IF($U22=0,0,((V26-Mast_KF_TM1)*Mast_GF_nXP1+Mast_KF_TM1*Mast_KF_nXP1-V25^0.524*16.9)/IF(Mast_Rasse=1,(369+0.249*V25-0.0004*V25^2),IF(Mast_Rasse=2,(193.4*V25^0.1435),(264+0.492*V25-0.00103*V25^2)))*1000)</f>
        <v>0</v>
      </c>
      <c r="W28" s="852">
        <f t="shared" si="14"/>
        <v>0</v>
      </c>
      <c r="X28" s="852">
        <f t="shared" si="14"/>
        <v>0</v>
      </c>
      <c r="Y28" s="852">
        <f t="shared" si="14"/>
        <v>0</v>
      </c>
      <c r="Z28" s="852">
        <f t="shared" si="14"/>
        <v>0</v>
      </c>
      <c r="AA28" s="852">
        <f t="shared" si="14"/>
        <v>0</v>
      </c>
      <c r="AB28" s="852">
        <f t="shared" si="14"/>
        <v>0</v>
      </c>
      <c r="AC28" s="852">
        <f t="shared" si="14"/>
        <v>0</v>
      </c>
      <c r="AD28" s="852">
        <f t="shared" si="14"/>
        <v>0</v>
      </c>
      <c r="AE28" s="852">
        <f t="shared" si="14"/>
        <v>0</v>
      </c>
      <c r="AF28" s="853">
        <f t="shared" si="14"/>
        <v>0</v>
      </c>
      <c r="AG28" s="172"/>
      <c r="AH28" s="1225"/>
      <c r="AZ28" s="762"/>
      <c r="CE28" s="774"/>
      <c r="CF28" s="774"/>
      <c r="CG28" s="774"/>
      <c r="CH28" s="774"/>
      <c r="CI28" s="774"/>
      <c r="CJ28" s="774"/>
      <c r="CK28" s="774"/>
      <c r="CL28" s="774"/>
      <c r="CM28" s="774"/>
    </row>
    <row r="29" spans="1:91" s="713" customFormat="1" ht="18.75" customHeight="1" thickBot="1" x14ac:dyDescent="0.25">
      <c r="A29" s="1231"/>
      <c r="B29" s="172"/>
      <c r="C29" s="868"/>
      <c r="D29" s="172"/>
      <c r="E29" s="172"/>
      <c r="F29" s="172"/>
      <c r="G29" s="172"/>
      <c r="H29" s="172"/>
      <c r="I29" s="172"/>
      <c r="J29" s="172"/>
      <c r="K29" s="172"/>
      <c r="L29" s="172"/>
      <c r="M29" s="172"/>
      <c r="N29" s="172"/>
      <c r="O29" s="172"/>
      <c r="P29" s="172"/>
      <c r="Q29" s="172"/>
      <c r="R29" s="766" t="s">
        <v>469</v>
      </c>
      <c r="S29" s="1472"/>
      <c r="T29" s="1472"/>
      <c r="U29" s="1473" t="str">
        <f>IF(Mast_GF_TM1=0,"",IF(COUNTIF(S10:S22,"&gt;0")&lt;&gt;COUNTIF(U10:U22,"&gt;0"),"Daten!",""))</f>
        <v/>
      </c>
      <c r="V29" s="1474">
        <f t="shared" ref="V29:AE29" si="15">(V26-SUM($U$18:$U$20))*$AG$16+SUM($U$18:$U$20)*$AG$24</f>
        <v>0</v>
      </c>
      <c r="W29" s="1475">
        <f t="shared" si="15"/>
        <v>0</v>
      </c>
      <c r="X29" s="1475">
        <f t="shared" si="15"/>
        <v>0</v>
      </c>
      <c r="Y29" s="1475">
        <f t="shared" si="15"/>
        <v>0</v>
      </c>
      <c r="Z29" s="1475">
        <f t="shared" si="15"/>
        <v>0</v>
      </c>
      <c r="AA29" s="1475">
        <f t="shared" si="15"/>
        <v>0</v>
      </c>
      <c r="AB29" s="1475">
        <f t="shared" si="15"/>
        <v>0</v>
      </c>
      <c r="AC29" s="1475">
        <f t="shared" si="15"/>
        <v>0</v>
      </c>
      <c r="AD29" s="1475">
        <f t="shared" si="15"/>
        <v>0</v>
      </c>
      <c r="AE29" s="1475">
        <f t="shared" si="15"/>
        <v>0</v>
      </c>
      <c r="AF29" s="1471">
        <f>(AF26-SUM($U$18:$U$20))*$AG$16+SUM($U$18:$U$20)*$AG$24</f>
        <v>0</v>
      </c>
      <c r="AH29" s="1225"/>
      <c r="AZ29" s="762"/>
      <c r="CE29" s="774"/>
      <c r="CF29" s="774"/>
      <c r="CG29" s="774"/>
      <c r="CH29" s="774"/>
      <c r="CI29" s="774"/>
      <c r="CJ29" s="774"/>
      <c r="CK29" s="774"/>
      <c r="CL29" s="774"/>
      <c r="CM29" s="774"/>
    </row>
    <row r="30" spans="1:91" hidden="1" x14ac:dyDescent="0.2">
      <c r="A30" s="1222"/>
      <c r="B30" s="1232"/>
      <c r="C30" s="1237"/>
      <c r="D30" s="1232"/>
      <c r="E30" s="1232"/>
      <c r="F30" s="1232"/>
      <c r="G30" s="1232"/>
      <c r="H30" s="1232"/>
      <c r="I30" s="1232"/>
      <c r="J30" s="1232"/>
      <c r="K30" s="1232"/>
      <c r="L30" s="1232"/>
      <c r="M30" s="1232"/>
      <c r="N30" s="172"/>
      <c r="O30" s="172"/>
      <c r="P30" s="172"/>
      <c r="Q30" s="172"/>
      <c r="R30" s="172"/>
      <c r="S30" s="172"/>
      <c r="T30" s="172"/>
      <c r="U30" s="172"/>
      <c r="V30" s="172"/>
      <c r="W30" s="172"/>
      <c r="X30" s="172"/>
      <c r="Y30" s="172"/>
      <c r="Z30" s="172"/>
      <c r="AA30" s="172"/>
      <c r="AB30" s="172"/>
      <c r="AC30" s="172"/>
      <c r="AD30" s="172"/>
      <c r="AE30" s="172"/>
      <c r="AF30" s="172"/>
      <c r="AG30" s="172"/>
      <c r="AH30" s="1238"/>
      <c r="AJ30" s="713">
        <v>325</v>
      </c>
      <c r="AK30" s="757">
        <f>AJ30^0.524*16.9</f>
        <v>350.03670396963315</v>
      </c>
      <c r="AL30" s="713">
        <f t="shared" ref="AL30" si="16">AJ30</f>
        <v>325</v>
      </c>
      <c r="AM30" s="757" t="e">
        <f>(AU30*1.05-$AK30)/#REF!*1000</f>
        <v>#REF!</v>
      </c>
      <c r="AN30" s="757" t="e">
        <f>(AV30*1.05-$AK30)/#REF!*1000</f>
        <v>#REF!</v>
      </c>
      <c r="AO30" s="757" t="e">
        <f>(AW30*1.05-$AK30)/#REF!*1000</f>
        <v>#REF!</v>
      </c>
      <c r="AP30" s="757" t="e">
        <f>(AX30*1.05-$AK30)/#REF!*1000</f>
        <v>#REF!</v>
      </c>
      <c r="AQ30" s="757" t="e">
        <f>(AY30*1.05-$AK30)/#REF!*1000</f>
        <v>#REF!</v>
      </c>
      <c r="AR30" s="764"/>
      <c r="AS30" s="757" t="e">
        <f t="shared" ref="AS30" si="17">AVERAGE(AM30:AR30)</f>
        <v>#REF!</v>
      </c>
      <c r="AT30" s="757" t="e">
        <f t="shared" ref="AT30" si="18">MAX(AM30:AR30)-AS30</f>
        <v>#REF!</v>
      </c>
      <c r="AU30" s="692">
        <v>577</v>
      </c>
      <c r="AV30" s="692">
        <v>656</v>
      </c>
      <c r="AW30" s="692">
        <v>727</v>
      </c>
      <c r="AX30" s="692">
        <v>782</v>
      </c>
      <c r="AY30" s="692">
        <v>823</v>
      </c>
    </row>
    <row r="31" spans="1:91" ht="12.75" thickBot="1" x14ac:dyDescent="0.25">
      <c r="A31" s="1239"/>
      <c r="B31" s="1240"/>
      <c r="C31" s="1241"/>
      <c r="D31" s="1240"/>
      <c r="E31" s="1240"/>
      <c r="F31" s="1240"/>
      <c r="G31" s="1242"/>
      <c r="H31" s="1242"/>
      <c r="I31" s="1242"/>
      <c r="J31" s="1242"/>
      <c r="K31" s="1242"/>
      <c r="L31" s="1242"/>
      <c r="M31" s="1242"/>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4"/>
      <c r="AI31" s="713"/>
      <c r="AJ31" s="757"/>
      <c r="AK31" s="713" t="s">
        <v>348</v>
      </c>
      <c r="AL31" s="713"/>
      <c r="AM31" s="713"/>
      <c r="AN31" s="713"/>
      <c r="AO31" s="713"/>
      <c r="AP31" s="713"/>
      <c r="AQ31" s="713"/>
      <c r="AR31" s="713"/>
      <c r="AS31" s="713">
        <v>263.89999999999998</v>
      </c>
      <c r="AT31" s="713"/>
    </row>
    <row r="32" spans="1:91" ht="12.75" hidden="1" thickTop="1" x14ac:dyDescent="0.2">
      <c r="B32" s="772"/>
      <c r="C32" s="862"/>
      <c r="D32" s="772"/>
      <c r="E32" s="772"/>
      <c r="F32" s="772"/>
      <c r="G32" s="774"/>
      <c r="H32" s="774"/>
      <c r="I32" s="774"/>
      <c r="J32" s="774"/>
      <c r="K32" s="774"/>
      <c r="L32" s="774"/>
      <c r="M32" s="774"/>
      <c r="N32" s="172"/>
      <c r="O32" s="172"/>
      <c r="P32" s="172"/>
      <c r="Q32" s="172"/>
      <c r="R32" s="172"/>
      <c r="S32" s="172"/>
      <c r="T32" s="172"/>
      <c r="U32" s="172"/>
      <c r="V32" s="172"/>
      <c r="W32" s="172"/>
      <c r="X32" s="172"/>
      <c r="Y32" s="172"/>
      <c r="Z32" s="172"/>
      <c r="AA32" s="172"/>
      <c r="AB32" s="172"/>
      <c r="AC32" s="172"/>
      <c r="AD32" s="172"/>
      <c r="AE32" s="172"/>
      <c r="AF32" s="172"/>
      <c r="AG32" s="172"/>
      <c r="AH32" s="172"/>
      <c r="AI32" s="713"/>
      <c r="AJ32" s="757"/>
      <c r="AK32" s="692" t="s">
        <v>349</v>
      </c>
      <c r="AL32" s="713"/>
      <c r="AO32" s="713"/>
      <c r="AP32" s="713"/>
      <c r="AQ32" s="713"/>
      <c r="AR32" s="713"/>
      <c r="AS32" s="713">
        <v>0.49199999999999999</v>
      </c>
      <c r="AT32" s="713"/>
    </row>
    <row r="33" spans="2:53" ht="12.75" hidden="1" thickTop="1" x14ac:dyDescent="0.2">
      <c r="B33" s="772"/>
      <c r="C33" s="862"/>
      <c r="D33" s="772"/>
      <c r="E33" s="772"/>
      <c r="F33" s="772"/>
      <c r="G33" s="774"/>
      <c r="H33" s="774"/>
      <c r="I33" s="774"/>
      <c r="J33" s="774"/>
      <c r="K33" s="774"/>
      <c r="L33" s="774"/>
      <c r="M33" s="774"/>
      <c r="N33" s="172"/>
      <c r="O33" s="172"/>
      <c r="P33" s="172"/>
      <c r="Q33" s="172"/>
      <c r="R33" s="172"/>
      <c r="S33" s="172"/>
      <c r="T33" s="172"/>
      <c r="U33" s="172"/>
      <c r="V33" s="172"/>
      <c r="W33" s="172"/>
      <c r="X33" s="172"/>
      <c r="Y33" s="172"/>
      <c r="Z33" s="172"/>
      <c r="AA33" s="172"/>
      <c r="AB33" s="172"/>
      <c r="AC33" s="172"/>
      <c r="AD33" s="172"/>
      <c r="AE33" s="172"/>
      <c r="AF33" s="172"/>
      <c r="AG33" s="172"/>
      <c r="AH33" s="172"/>
      <c r="AI33" s="692" t="s">
        <v>295</v>
      </c>
      <c r="AJ33" s="692" t="s">
        <v>303</v>
      </c>
      <c r="AK33" s="692" t="s">
        <v>299</v>
      </c>
      <c r="AL33" s="692">
        <f t="shared" ref="AL33:AR33" si="19">AL31*EXP(AL32*$U$3)</f>
        <v>0</v>
      </c>
      <c r="AM33" s="692">
        <f t="shared" si="19"/>
        <v>0</v>
      </c>
      <c r="AN33" s="692">
        <f t="shared" si="19"/>
        <v>0</v>
      </c>
      <c r="AO33" s="692">
        <f t="shared" si="19"/>
        <v>0</v>
      </c>
      <c r="AP33" s="692">
        <f t="shared" si="19"/>
        <v>0</v>
      </c>
      <c r="AQ33" s="692">
        <f t="shared" si="19"/>
        <v>0</v>
      </c>
      <c r="AR33" s="692">
        <f t="shared" si="19"/>
        <v>0</v>
      </c>
      <c r="AS33" s="692">
        <v>-1.0300000000000001E-3</v>
      </c>
    </row>
    <row r="34" spans="2:53" ht="12.75" hidden="1" thickTop="1" x14ac:dyDescent="0.2">
      <c r="B34" s="772"/>
      <c r="C34" s="862"/>
      <c r="D34" s="772"/>
      <c r="E34" s="772"/>
      <c r="F34" s="772"/>
      <c r="G34" s="774"/>
      <c r="H34" s="774"/>
      <c r="I34" s="774"/>
      <c r="J34" s="774"/>
      <c r="K34" s="774"/>
      <c r="L34" s="774"/>
      <c r="M34" s="774"/>
      <c r="N34" s="172"/>
      <c r="O34" s="172"/>
      <c r="P34" s="172"/>
      <c r="Q34" s="172"/>
      <c r="R34" s="172"/>
      <c r="S34" s="172"/>
      <c r="T34" s="172"/>
      <c r="U34" s="172"/>
      <c r="V34" s="172"/>
      <c r="W34" s="172"/>
      <c r="X34" s="172"/>
      <c r="Y34" s="172"/>
      <c r="Z34" s="172"/>
      <c r="AA34" s="172"/>
      <c r="AB34" s="172"/>
      <c r="AC34" s="172"/>
      <c r="AD34" s="172"/>
      <c r="AE34" s="172"/>
      <c r="AF34" s="172"/>
      <c r="AG34" s="172"/>
      <c r="AH34" s="172"/>
      <c r="AI34" s="713" t="s">
        <v>296</v>
      </c>
      <c r="AJ34" s="713" t="s">
        <v>297</v>
      </c>
      <c r="AL34" s="713">
        <v>400</v>
      </c>
      <c r="AM34" s="713">
        <v>500</v>
      </c>
      <c r="AN34" s="713">
        <v>600</v>
      </c>
      <c r="AO34" s="713">
        <v>700</v>
      </c>
      <c r="AP34" s="713">
        <v>800</v>
      </c>
      <c r="AQ34" s="713">
        <v>900</v>
      </c>
      <c r="AR34" s="713">
        <v>1000</v>
      </c>
      <c r="AS34" s="713" t="s">
        <v>347</v>
      </c>
      <c r="AT34" s="713"/>
      <c r="AU34" s="713">
        <f t="shared" ref="AU34:AZ34" si="20">AL34</f>
        <v>400</v>
      </c>
      <c r="AV34" s="713">
        <f t="shared" si="20"/>
        <v>500</v>
      </c>
      <c r="AW34" s="713">
        <f t="shared" si="20"/>
        <v>600</v>
      </c>
      <c r="AX34" s="713">
        <f t="shared" si="20"/>
        <v>700</v>
      </c>
      <c r="AY34" s="713">
        <f t="shared" si="20"/>
        <v>800</v>
      </c>
      <c r="AZ34" s="713">
        <f t="shared" si="20"/>
        <v>900</v>
      </c>
      <c r="BA34" s="713">
        <v>1000</v>
      </c>
    </row>
    <row r="35" spans="2:53" ht="12.75" hidden="1" thickTop="1" x14ac:dyDescent="0.2">
      <c r="B35" s="772"/>
      <c r="C35" s="862"/>
      <c r="D35" s="772"/>
      <c r="E35" s="772"/>
      <c r="F35" s="772"/>
      <c r="G35" s="774"/>
      <c r="H35" s="774"/>
      <c r="I35" s="774"/>
      <c r="J35" s="774"/>
      <c r="K35" s="774"/>
      <c r="L35" s="774"/>
      <c r="M35" s="774"/>
      <c r="N35" s="172"/>
      <c r="O35" s="172"/>
      <c r="P35" s="172"/>
      <c r="Q35" s="172"/>
      <c r="R35" s="172"/>
      <c r="S35" s="172"/>
      <c r="T35" s="172"/>
      <c r="U35" s="172"/>
      <c r="V35" s="172"/>
      <c r="W35" s="172"/>
      <c r="X35" s="172"/>
      <c r="Y35" s="172"/>
      <c r="Z35" s="172"/>
      <c r="AA35" s="172"/>
      <c r="AB35" s="172"/>
      <c r="AC35" s="172"/>
      <c r="AD35" s="172"/>
      <c r="AE35" s="172"/>
      <c r="AF35" s="172"/>
      <c r="AG35" s="172"/>
      <c r="AH35" s="172"/>
      <c r="AI35" s="713">
        <v>150</v>
      </c>
      <c r="AJ35" s="757">
        <f>AI35^0.524*16.9</f>
        <v>233.43099668718983</v>
      </c>
      <c r="AK35" s="757">
        <f>AI35</f>
        <v>150</v>
      </c>
      <c r="AL35" s="798"/>
      <c r="AM35" s="757">
        <f t="shared" ref="AM35:AM43" si="21">(AV35*1-$AJ35)/AM$34*1000</f>
        <v>301.13800662562033</v>
      </c>
      <c r="AN35" s="798"/>
      <c r="AO35" s="798"/>
      <c r="AP35" s="757">
        <f t="shared" ref="AP35:AP43" si="22">(AY35*1-$AJ35)/AP$34*1000</f>
        <v>320.71125414101277</v>
      </c>
      <c r="AQ35" s="798"/>
      <c r="AR35" s="798"/>
      <c r="AS35" s="798">
        <f>AVERAGE(AL35:AR35)</f>
        <v>310.92463038331653</v>
      </c>
      <c r="AT35" s="757">
        <f>MAX(AM35:AR35)-AS35</f>
        <v>9.7866237576962476</v>
      </c>
      <c r="AV35" s="692">
        <v>384</v>
      </c>
      <c r="AY35" s="692">
        <v>490</v>
      </c>
    </row>
    <row r="36" spans="2:53" ht="12.75" hidden="1" thickTop="1" x14ac:dyDescent="0.2">
      <c r="B36" s="772"/>
      <c r="C36" s="862"/>
      <c r="D36" s="772"/>
      <c r="E36" s="772"/>
      <c r="F36" s="772"/>
      <c r="G36" s="774"/>
      <c r="H36" s="774"/>
      <c r="I36" s="774"/>
      <c r="J36" s="774"/>
      <c r="K36" s="774"/>
      <c r="L36" s="774"/>
      <c r="M36" s="774"/>
      <c r="N36" s="172"/>
      <c r="O36" s="172"/>
      <c r="P36" s="172"/>
      <c r="Q36" s="172"/>
      <c r="R36" s="172"/>
      <c r="S36" s="172"/>
      <c r="T36" s="172"/>
      <c r="U36" s="172"/>
      <c r="V36" s="172"/>
      <c r="W36" s="172"/>
      <c r="X36" s="172"/>
      <c r="Y36" s="172"/>
      <c r="Z36" s="172"/>
      <c r="AA36" s="172"/>
      <c r="AB36" s="172"/>
      <c r="AC36" s="172"/>
      <c r="AD36" s="172"/>
      <c r="AE36" s="172"/>
      <c r="AF36" s="172"/>
      <c r="AG36" s="172"/>
      <c r="AH36" s="172"/>
      <c r="AI36" s="713">
        <v>200</v>
      </c>
      <c r="AJ36" s="757">
        <f t="shared" ref="AJ36:AJ43" si="23">AI36^0.524*16.9</f>
        <v>271.41036078404352</v>
      </c>
      <c r="AK36" s="757">
        <f t="shared" ref="AK36:AK43" si="24">AI36</f>
        <v>200</v>
      </c>
      <c r="AL36" s="798"/>
      <c r="AM36" s="757">
        <f t="shared" si="21"/>
        <v>319.17927843191296</v>
      </c>
      <c r="AN36" s="798"/>
      <c r="AO36" s="798"/>
      <c r="AP36" s="757">
        <f t="shared" si="22"/>
        <v>325.73704901994563</v>
      </c>
      <c r="AQ36" s="798"/>
      <c r="AR36" s="798"/>
      <c r="AS36" s="798">
        <f t="shared" ref="AS36:AS43" si="25">AVERAGE(AL36:AR36)</f>
        <v>322.4581637259293</v>
      </c>
      <c r="AT36" s="757">
        <f t="shared" ref="AT36:AT42" si="26">MAX(AM36:AR36)-AS36</f>
        <v>3.2788852940163338</v>
      </c>
      <c r="AV36" s="692">
        <v>431</v>
      </c>
      <c r="AY36" s="692">
        <v>532</v>
      </c>
    </row>
    <row r="37" spans="2:53" ht="12.75" hidden="1" thickTop="1" x14ac:dyDescent="0.2">
      <c r="B37" s="772"/>
      <c r="C37" s="862"/>
      <c r="D37" s="772"/>
      <c r="E37" s="772"/>
      <c r="F37" s="772"/>
      <c r="G37" s="774"/>
      <c r="H37" s="774"/>
      <c r="I37" s="774"/>
      <c r="J37" s="774"/>
      <c r="K37" s="774"/>
      <c r="L37" s="774"/>
      <c r="M37" s="774"/>
      <c r="N37" s="172"/>
      <c r="O37" s="172"/>
      <c r="P37" s="172"/>
      <c r="Q37" s="172"/>
      <c r="R37" s="172"/>
      <c r="S37" s="172"/>
      <c r="T37" s="172"/>
      <c r="U37" s="172"/>
      <c r="V37" s="172"/>
      <c r="W37" s="172"/>
      <c r="X37" s="172"/>
      <c r="Y37" s="172"/>
      <c r="Z37" s="172"/>
      <c r="AA37" s="172"/>
      <c r="AB37" s="172"/>
      <c r="AC37" s="172"/>
      <c r="AD37" s="172"/>
      <c r="AE37" s="172"/>
      <c r="AF37" s="172"/>
      <c r="AG37" s="172"/>
      <c r="AH37" s="172"/>
      <c r="AI37" s="713">
        <v>250</v>
      </c>
      <c r="AJ37" s="757">
        <f t="shared" si="23"/>
        <v>305.07545604809326</v>
      </c>
      <c r="AK37" s="757">
        <f t="shared" si="24"/>
        <v>250</v>
      </c>
      <c r="AL37" s="798"/>
      <c r="AM37" s="757">
        <f t="shared" si="21"/>
        <v>331.84908790381348</v>
      </c>
      <c r="AN37" s="798"/>
      <c r="AO37" s="798"/>
      <c r="AP37" s="757">
        <f t="shared" si="22"/>
        <v>321.15567993988344</v>
      </c>
      <c r="AQ37" s="798"/>
      <c r="AR37" s="798"/>
      <c r="AS37" s="798">
        <f t="shared" si="25"/>
        <v>326.50238392184849</v>
      </c>
      <c r="AT37" s="757">
        <f t="shared" si="26"/>
        <v>5.3467039819649926</v>
      </c>
      <c r="AV37" s="692">
        <v>471</v>
      </c>
      <c r="AY37" s="692">
        <v>562</v>
      </c>
    </row>
    <row r="38" spans="2:53" ht="12.75" hidden="1" thickTop="1" x14ac:dyDescent="0.2">
      <c r="B38" s="772"/>
      <c r="C38" s="862"/>
      <c r="D38" s="772"/>
      <c r="E38" s="772"/>
      <c r="F38" s="772"/>
      <c r="G38" s="774"/>
      <c r="H38" s="774"/>
      <c r="I38" s="774"/>
      <c r="J38" s="774"/>
      <c r="K38" s="774"/>
      <c r="L38" s="774"/>
      <c r="M38" s="774"/>
      <c r="N38" s="172"/>
      <c r="O38" s="172"/>
      <c r="P38" s="172"/>
      <c r="Q38" s="172"/>
      <c r="R38" s="172"/>
      <c r="S38" s="172"/>
      <c r="T38" s="172"/>
      <c r="U38" s="172"/>
      <c r="V38" s="172"/>
      <c r="W38" s="172"/>
      <c r="X38" s="172"/>
      <c r="Y38" s="172"/>
      <c r="Z38" s="172"/>
      <c r="AA38" s="172"/>
      <c r="AB38" s="172"/>
      <c r="AC38" s="172"/>
      <c r="AD38" s="172"/>
      <c r="AE38" s="172"/>
      <c r="AF38" s="172"/>
      <c r="AG38" s="172"/>
      <c r="AH38" s="172"/>
      <c r="AI38" s="713">
        <v>300</v>
      </c>
      <c r="AJ38" s="757">
        <f t="shared" si="23"/>
        <v>335.65895803538746</v>
      </c>
      <c r="AK38" s="757">
        <f t="shared" si="24"/>
        <v>300</v>
      </c>
      <c r="AL38" s="798"/>
      <c r="AM38" s="757">
        <f t="shared" si="21"/>
        <v>330.68208392922509</v>
      </c>
      <c r="AN38" s="798"/>
      <c r="AO38" s="798"/>
      <c r="AP38" s="757">
        <f t="shared" si="22"/>
        <v>311.67630245576566</v>
      </c>
      <c r="AQ38" s="798"/>
      <c r="AR38" s="798"/>
      <c r="AS38" s="798">
        <f t="shared" si="25"/>
        <v>321.1791931924954</v>
      </c>
      <c r="AT38" s="757">
        <f t="shared" si="26"/>
        <v>9.5028907367296824</v>
      </c>
      <c r="AV38" s="692">
        <v>501</v>
      </c>
      <c r="AY38" s="692">
        <v>585</v>
      </c>
    </row>
    <row r="39" spans="2:53" ht="12.75" hidden="1" thickTop="1" x14ac:dyDescent="0.2">
      <c r="B39" s="772"/>
      <c r="C39" s="862"/>
      <c r="D39" s="772"/>
      <c r="E39" s="772"/>
      <c r="F39" s="772"/>
      <c r="G39" s="774"/>
      <c r="H39" s="774"/>
      <c r="I39" s="774"/>
      <c r="J39" s="774"/>
      <c r="K39" s="774"/>
      <c r="L39" s="774"/>
      <c r="M39" s="774"/>
      <c r="N39" s="172"/>
      <c r="O39" s="172"/>
      <c r="P39" s="172"/>
      <c r="Q39" s="172"/>
      <c r="R39" s="172"/>
      <c r="S39" s="172"/>
      <c r="T39" s="172"/>
      <c r="U39" s="172"/>
      <c r="V39" s="172"/>
      <c r="W39" s="172"/>
      <c r="X39" s="172"/>
      <c r="Y39" s="172"/>
      <c r="Z39" s="172"/>
      <c r="AA39" s="172"/>
      <c r="AB39" s="172"/>
      <c r="AC39" s="172"/>
      <c r="AD39" s="172"/>
      <c r="AE39" s="172"/>
      <c r="AF39" s="172"/>
      <c r="AG39" s="172"/>
      <c r="AH39" s="172"/>
      <c r="AI39" s="713">
        <v>350</v>
      </c>
      <c r="AJ39" s="757">
        <f t="shared" si="23"/>
        <v>363.89690331887954</v>
      </c>
      <c r="AK39" s="757">
        <f t="shared" si="24"/>
        <v>350</v>
      </c>
      <c r="AL39" s="798"/>
      <c r="AM39" s="757">
        <f t="shared" si="21"/>
        <v>318.20619336224092</v>
      </c>
      <c r="AN39" s="798"/>
      <c r="AO39" s="798"/>
      <c r="AP39" s="757">
        <f t="shared" si="22"/>
        <v>300.12887085140056</v>
      </c>
      <c r="AQ39" s="798"/>
      <c r="AR39" s="798"/>
      <c r="AS39" s="798">
        <f t="shared" si="25"/>
        <v>309.16753210682077</v>
      </c>
      <c r="AT39" s="757">
        <f t="shared" si="26"/>
        <v>9.038661255420152</v>
      </c>
      <c r="AV39" s="692">
        <v>523</v>
      </c>
      <c r="AY39" s="692">
        <v>604</v>
      </c>
    </row>
    <row r="40" spans="2:53" ht="12.75" hidden="1" thickTop="1" x14ac:dyDescent="0.2">
      <c r="B40" s="772"/>
      <c r="C40" s="862"/>
      <c r="D40" s="772"/>
      <c r="E40" s="772"/>
      <c r="F40" s="772"/>
      <c r="G40" s="774"/>
      <c r="H40" s="774"/>
      <c r="I40" s="774"/>
      <c r="J40" s="774"/>
      <c r="K40" s="774"/>
      <c r="L40" s="774"/>
      <c r="M40" s="774"/>
      <c r="N40" s="172"/>
      <c r="O40" s="172"/>
      <c r="P40" s="172"/>
      <c r="Q40" s="172"/>
      <c r="R40" s="172"/>
      <c r="S40" s="172"/>
      <c r="T40" s="172"/>
      <c r="U40" s="172"/>
      <c r="V40" s="172"/>
      <c r="W40" s="172"/>
      <c r="X40" s="172"/>
      <c r="Y40" s="172"/>
      <c r="Z40" s="172"/>
      <c r="AA40" s="172"/>
      <c r="AB40" s="172"/>
      <c r="AC40" s="172"/>
      <c r="AD40" s="172"/>
      <c r="AE40" s="172"/>
      <c r="AF40" s="172"/>
      <c r="AG40" s="172"/>
      <c r="AH40" s="172"/>
      <c r="AI40" s="713">
        <v>400</v>
      </c>
      <c r="AJ40" s="757">
        <f t="shared" si="23"/>
        <v>390.2708731645493</v>
      </c>
      <c r="AK40" s="757">
        <f t="shared" si="24"/>
        <v>400</v>
      </c>
      <c r="AL40" s="798"/>
      <c r="AM40" s="757">
        <f t="shared" si="21"/>
        <v>307.4582536709014</v>
      </c>
      <c r="AN40" s="798"/>
      <c r="AO40" s="798"/>
      <c r="AP40" s="757">
        <f t="shared" si="22"/>
        <v>284.66140854431336</v>
      </c>
      <c r="AQ40" s="798"/>
      <c r="AR40" s="798"/>
      <c r="AS40" s="798">
        <f t="shared" si="25"/>
        <v>296.05983110760735</v>
      </c>
      <c r="AT40" s="757">
        <f t="shared" si="26"/>
        <v>11.398422563294048</v>
      </c>
      <c r="AV40" s="692">
        <v>544</v>
      </c>
      <c r="AY40" s="692">
        <v>618</v>
      </c>
    </row>
    <row r="41" spans="2:53" ht="12.75" hidden="1" thickTop="1" x14ac:dyDescent="0.2">
      <c r="B41" s="772"/>
      <c r="C41" s="862"/>
      <c r="D41" s="772"/>
      <c r="E41" s="772"/>
      <c r="F41" s="772"/>
      <c r="G41" s="774"/>
      <c r="H41" s="774"/>
      <c r="I41" s="774"/>
      <c r="J41" s="774"/>
      <c r="K41" s="774"/>
      <c r="L41" s="774"/>
      <c r="M41" s="774"/>
      <c r="N41" s="172"/>
      <c r="O41" s="172"/>
      <c r="P41" s="172"/>
      <c r="Q41" s="172"/>
      <c r="R41" s="172"/>
      <c r="S41" s="172"/>
      <c r="T41" s="172"/>
      <c r="U41" s="172"/>
      <c r="V41" s="172"/>
      <c r="W41" s="172"/>
      <c r="X41" s="172"/>
      <c r="Y41" s="172"/>
      <c r="Z41" s="172"/>
      <c r="AA41" s="172"/>
      <c r="AB41" s="172"/>
      <c r="AC41" s="172"/>
      <c r="AD41" s="172"/>
      <c r="AE41" s="172"/>
      <c r="AF41" s="172"/>
      <c r="AG41" s="172"/>
      <c r="AH41" s="172"/>
      <c r="AI41" s="713">
        <v>450</v>
      </c>
      <c r="AJ41" s="757">
        <f t="shared" si="23"/>
        <v>415.11656291945724</v>
      </c>
      <c r="AK41" s="757">
        <f t="shared" si="24"/>
        <v>450</v>
      </c>
      <c r="AL41" s="798"/>
      <c r="AM41" s="757">
        <f t="shared" si="21"/>
        <v>283.76687416108552</v>
      </c>
      <c r="AN41" s="798"/>
      <c r="AO41" s="798"/>
      <c r="AP41" s="757">
        <f t="shared" si="22"/>
        <v>267.35429635067845</v>
      </c>
      <c r="AQ41" s="798"/>
      <c r="AR41" s="798"/>
      <c r="AS41" s="798">
        <f t="shared" si="25"/>
        <v>275.56058525588196</v>
      </c>
      <c r="AT41" s="757">
        <f t="shared" si="26"/>
        <v>8.2062889052035644</v>
      </c>
      <c r="AV41" s="692">
        <v>557</v>
      </c>
      <c r="AY41" s="692">
        <v>629</v>
      </c>
    </row>
    <row r="42" spans="2:53" ht="12.75" hidden="1" thickTop="1" x14ac:dyDescent="0.2">
      <c r="B42" s="772"/>
      <c r="C42" s="862"/>
      <c r="D42" s="772"/>
      <c r="E42" s="772"/>
      <c r="F42" s="772"/>
      <c r="G42" s="774"/>
      <c r="H42" s="774"/>
      <c r="I42" s="774"/>
      <c r="J42" s="774"/>
      <c r="K42" s="774"/>
      <c r="L42" s="774"/>
      <c r="M42" s="774"/>
      <c r="N42" s="172"/>
      <c r="O42" s="172"/>
      <c r="P42" s="172"/>
      <c r="Q42" s="172"/>
      <c r="R42" s="172"/>
      <c r="S42" s="172"/>
      <c r="T42" s="172"/>
      <c r="U42" s="172"/>
      <c r="V42" s="172"/>
      <c r="W42" s="172"/>
      <c r="X42" s="172"/>
      <c r="Y42" s="172"/>
      <c r="Z42" s="172"/>
      <c r="AA42" s="172"/>
      <c r="AB42" s="172"/>
      <c r="AC42" s="172"/>
      <c r="AD42" s="172"/>
      <c r="AE42" s="172"/>
      <c r="AF42" s="172"/>
      <c r="AG42" s="172"/>
      <c r="AH42" s="172"/>
      <c r="AI42" s="713">
        <v>500</v>
      </c>
      <c r="AJ42" s="757">
        <f t="shared" si="23"/>
        <v>438.67914352649962</v>
      </c>
      <c r="AK42" s="757">
        <f t="shared" si="24"/>
        <v>500</v>
      </c>
      <c r="AL42" s="798"/>
      <c r="AM42" s="757">
        <f t="shared" si="21"/>
        <v>242.64171294700077</v>
      </c>
      <c r="AN42" s="798"/>
      <c r="AO42" s="798"/>
      <c r="AP42" s="757">
        <f t="shared" si="22"/>
        <v>247.90107059187548</v>
      </c>
      <c r="AQ42" s="798"/>
      <c r="AR42" s="798"/>
      <c r="AS42" s="798">
        <f t="shared" si="25"/>
        <v>245.27139176943814</v>
      </c>
      <c r="AT42" s="757">
        <f t="shared" si="26"/>
        <v>2.6296788224373415</v>
      </c>
      <c r="AV42" s="692">
        <v>560</v>
      </c>
      <c r="AY42" s="692">
        <v>637</v>
      </c>
    </row>
    <row r="43" spans="2:53" ht="12.75" hidden="1" thickTop="1" x14ac:dyDescent="0.2">
      <c r="B43" s="772"/>
      <c r="C43" s="862"/>
      <c r="D43" s="772"/>
      <c r="E43" s="772"/>
      <c r="F43" s="772"/>
      <c r="G43" s="774"/>
      <c r="H43" s="774"/>
      <c r="I43" s="774"/>
      <c r="J43" s="774"/>
      <c r="K43" s="774"/>
      <c r="L43" s="774"/>
      <c r="M43" s="774"/>
      <c r="N43" s="172"/>
      <c r="O43" s="172"/>
      <c r="P43" s="172"/>
      <c r="Q43" s="172"/>
      <c r="R43" s="172"/>
      <c r="S43" s="172"/>
      <c r="T43" s="172"/>
      <c r="U43" s="172"/>
      <c r="V43" s="172"/>
      <c r="W43" s="172"/>
      <c r="X43" s="172"/>
      <c r="Y43" s="172"/>
      <c r="Z43" s="172"/>
      <c r="AA43" s="172"/>
      <c r="AB43" s="172"/>
      <c r="AC43" s="172"/>
      <c r="AD43" s="172"/>
      <c r="AE43" s="172"/>
      <c r="AF43" s="172"/>
      <c r="AG43" s="172"/>
      <c r="AH43" s="172"/>
      <c r="AI43" s="713">
        <v>550</v>
      </c>
      <c r="AJ43" s="757">
        <f t="shared" si="23"/>
        <v>461.14420339845276</v>
      </c>
      <c r="AK43" s="757">
        <f t="shared" si="24"/>
        <v>550</v>
      </c>
      <c r="AL43" s="798"/>
      <c r="AM43" s="757">
        <f t="shared" si="21"/>
        <v>227.71159320309448</v>
      </c>
      <c r="AN43" s="798"/>
      <c r="AO43" s="798"/>
      <c r="AP43" s="757">
        <f t="shared" si="22"/>
        <v>232.31974575193405</v>
      </c>
      <c r="AQ43" s="798"/>
      <c r="AR43" s="798"/>
      <c r="AS43" s="798">
        <f t="shared" si="25"/>
        <v>230.01566947751428</v>
      </c>
      <c r="AT43" s="798"/>
      <c r="AV43" s="692">
        <v>575</v>
      </c>
      <c r="AY43" s="692">
        <v>647</v>
      </c>
    </row>
    <row r="44" spans="2:53" ht="12.75" hidden="1" thickTop="1" x14ac:dyDescent="0.2">
      <c r="B44" s="772"/>
      <c r="C44" s="862"/>
      <c r="D44" s="772"/>
      <c r="E44" s="772"/>
      <c r="F44" s="772"/>
      <c r="G44" s="774"/>
      <c r="H44" s="774"/>
      <c r="I44" s="774"/>
      <c r="J44" s="774"/>
      <c r="K44" s="774"/>
      <c r="L44" s="774"/>
      <c r="M44" s="774"/>
      <c r="N44" s="172"/>
      <c r="O44" s="172"/>
      <c r="P44" s="172"/>
      <c r="Q44" s="172"/>
      <c r="R44" s="172"/>
      <c r="S44" s="172"/>
      <c r="T44" s="172"/>
      <c r="U44" s="172"/>
      <c r="V44" s="172"/>
      <c r="W44" s="172"/>
      <c r="X44" s="172"/>
      <c r="Y44" s="172"/>
      <c r="Z44" s="172"/>
      <c r="AA44" s="172"/>
      <c r="AB44" s="172"/>
      <c r="AC44" s="172"/>
      <c r="AD44" s="172"/>
      <c r="AE44" s="172"/>
      <c r="AF44" s="172"/>
      <c r="AG44" s="172"/>
      <c r="AH44" s="172"/>
      <c r="AJ44" s="757"/>
      <c r="AM44" s="757"/>
    </row>
    <row r="45" spans="2:53" ht="12.75" hidden="1" thickTop="1" x14ac:dyDescent="0.2">
      <c r="B45" s="772"/>
      <c r="C45" s="862"/>
      <c r="D45" s="772"/>
      <c r="E45" s="772"/>
      <c r="F45" s="772"/>
      <c r="G45" s="774"/>
      <c r="H45" s="774"/>
      <c r="I45" s="774"/>
      <c r="J45" s="774"/>
      <c r="K45" s="774"/>
      <c r="L45" s="774"/>
      <c r="M45" s="774"/>
      <c r="N45" s="172"/>
      <c r="O45" s="172"/>
      <c r="P45" s="172"/>
      <c r="Q45" s="172"/>
      <c r="R45" s="172"/>
      <c r="S45" s="172"/>
      <c r="T45" s="172"/>
      <c r="U45" s="172"/>
      <c r="V45" s="172"/>
      <c r="W45" s="172"/>
      <c r="X45" s="172"/>
      <c r="Y45" s="172"/>
      <c r="Z45" s="172"/>
      <c r="AA45" s="172"/>
      <c r="AB45" s="172"/>
      <c r="AC45" s="172"/>
      <c r="AD45" s="172"/>
      <c r="AE45" s="172"/>
      <c r="AF45" s="172"/>
      <c r="AG45" s="172"/>
      <c r="AH45" s="172"/>
      <c r="AJ45" s="799"/>
    </row>
    <row r="46" spans="2:53" ht="12.75" hidden="1" thickTop="1" x14ac:dyDescent="0.2">
      <c r="B46" s="772"/>
      <c r="C46" s="862"/>
      <c r="D46" s="772"/>
      <c r="E46" s="772"/>
      <c r="F46" s="772"/>
      <c r="G46" s="774"/>
      <c r="H46" s="774"/>
      <c r="I46" s="774"/>
      <c r="J46" s="774"/>
      <c r="K46" s="774"/>
      <c r="L46" s="774"/>
      <c r="M46" s="774"/>
      <c r="N46" s="172"/>
      <c r="O46" s="172"/>
      <c r="P46" s="172"/>
      <c r="Q46" s="172"/>
      <c r="R46" s="172"/>
      <c r="S46" s="172"/>
      <c r="T46" s="172"/>
      <c r="U46" s="172"/>
      <c r="V46" s="172"/>
      <c r="W46" s="172"/>
      <c r="X46" s="172"/>
      <c r="Y46" s="172"/>
      <c r="Z46" s="172"/>
      <c r="AA46" s="172"/>
      <c r="AB46" s="172"/>
      <c r="AC46" s="172"/>
      <c r="AD46" s="172"/>
      <c r="AE46" s="172"/>
      <c r="AF46" s="172"/>
      <c r="AG46" s="172"/>
      <c r="AH46" s="172"/>
    </row>
    <row r="47" spans="2:53" ht="12.75" hidden="1" thickTop="1" x14ac:dyDescent="0.2">
      <c r="B47" s="772"/>
      <c r="C47" s="862"/>
      <c r="D47" s="772"/>
      <c r="E47" s="772"/>
      <c r="F47" s="772"/>
      <c r="G47" s="774"/>
      <c r="H47" s="774"/>
      <c r="I47" s="774"/>
      <c r="J47" s="774"/>
      <c r="K47" s="774"/>
      <c r="L47" s="774"/>
      <c r="M47" s="774"/>
      <c r="N47" s="172"/>
      <c r="O47" s="172"/>
      <c r="P47" s="172"/>
      <c r="Q47" s="172"/>
      <c r="R47" s="172"/>
      <c r="S47" s="172"/>
      <c r="T47" s="172"/>
      <c r="U47" s="172"/>
      <c r="V47" s="172"/>
      <c r="W47" s="172"/>
      <c r="X47" s="172"/>
      <c r="Y47" s="172"/>
      <c r="Z47" s="172"/>
      <c r="AA47" s="172"/>
      <c r="AB47" s="172"/>
      <c r="AC47" s="172"/>
      <c r="AD47" s="172"/>
      <c r="AE47" s="172"/>
      <c r="AF47" s="172"/>
      <c r="AG47" s="172"/>
      <c r="AH47" s="172"/>
      <c r="AI47" s="713" t="s">
        <v>40</v>
      </c>
      <c r="AJ47" s="757"/>
      <c r="AK47" s="692" t="s">
        <v>297</v>
      </c>
      <c r="AM47" s="692">
        <v>500</v>
      </c>
      <c r="AN47" s="692">
        <v>800</v>
      </c>
      <c r="AO47" s="692">
        <v>800</v>
      </c>
      <c r="AP47" s="692">
        <v>1000</v>
      </c>
      <c r="AQ47" s="692">
        <v>1200</v>
      </c>
      <c r="AR47" s="692">
        <v>1400</v>
      </c>
      <c r="AT47" s="692">
        <f t="shared" ref="AT47:AY47" si="27">AM47</f>
        <v>500</v>
      </c>
      <c r="AU47" s="692">
        <f t="shared" si="27"/>
        <v>800</v>
      </c>
      <c r="AV47" s="692">
        <f t="shared" si="27"/>
        <v>800</v>
      </c>
      <c r="AW47" s="692">
        <f t="shared" si="27"/>
        <v>1000</v>
      </c>
      <c r="AX47" s="692">
        <f t="shared" si="27"/>
        <v>1200</v>
      </c>
      <c r="AY47" s="692">
        <f t="shared" si="27"/>
        <v>1400</v>
      </c>
    </row>
    <row r="48" spans="2:53" ht="12.75" hidden="1" thickTop="1" x14ac:dyDescent="0.2">
      <c r="B48" s="772"/>
      <c r="C48" s="862"/>
      <c r="D48" s="772"/>
      <c r="E48" s="772"/>
      <c r="F48" s="772"/>
      <c r="G48" s="774"/>
      <c r="H48" s="774"/>
      <c r="I48" s="774"/>
      <c r="J48" s="774"/>
      <c r="K48" s="774"/>
      <c r="L48" s="774"/>
      <c r="M48" s="774"/>
      <c r="N48" s="172"/>
      <c r="O48" s="172"/>
      <c r="P48" s="172"/>
      <c r="Q48" s="172"/>
      <c r="R48" s="172"/>
      <c r="S48" s="172"/>
      <c r="T48" s="172"/>
      <c r="U48" s="172"/>
      <c r="V48" s="172"/>
      <c r="W48" s="172"/>
      <c r="X48" s="172"/>
      <c r="Y48" s="172"/>
      <c r="Z48" s="172"/>
      <c r="AA48" s="172"/>
      <c r="AB48" s="172"/>
      <c r="AC48" s="172"/>
      <c r="AD48" s="172"/>
      <c r="AE48" s="172"/>
      <c r="AF48" s="172"/>
      <c r="AG48" s="172"/>
      <c r="AH48" s="172"/>
      <c r="AI48" s="765">
        <v>175</v>
      </c>
      <c r="AJ48" s="769">
        <f t="shared" ref="AJ48:AJ57" si="28">IF(Mast_Rasse=3,4.4*LN(AI48)+$V$24*1.06-28.7,0.173+0.01372*AI48+1.47*Mast_LMZ/1000)*$U$5</f>
        <v>-5.9749417147365342</v>
      </c>
      <c r="AK48" s="692">
        <f>AJ48*2</f>
        <v>-11.949883429473068</v>
      </c>
      <c r="AL48" s="841">
        <f>AI48</f>
        <v>175</v>
      </c>
      <c r="AM48" s="692">
        <v>22</v>
      </c>
      <c r="AN48" s="692">
        <v>31</v>
      </c>
      <c r="AO48" s="692">
        <v>31</v>
      </c>
      <c r="AP48" s="692">
        <v>35</v>
      </c>
      <c r="AS48" s="841">
        <f t="shared" ref="AS48:AS57" si="29">AI48</f>
        <v>175</v>
      </c>
      <c r="AT48" s="692">
        <f t="shared" ref="AT48:AT56" si="30">AM48-$AK48</f>
        <v>33.949883429473068</v>
      </c>
      <c r="AU48" s="692">
        <f t="shared" ref="AU48:AU56" si="31">AN48-$AK48</f>
        <v>42.949883429473068</v>
      </c>
      <c r="AV48" s="692">
        <f t="shared" ref="AV48:AV56" si="32">AO48-$AK48</f>
        <v>42.949883429473068</v>
      </c>
      <c r="AW48" s="692">
        <f t="shared" ref="AW48:AW56" si="33">AP48-$AK48</f>
        <v>46.949883429473068</v>
      </c>
    </row>
    <row r="49" spans="7:51" ht="12.75" hidden="1" thickTop="1" x14ac:dyDescent="0.2">
      <c r="G49" s="774"/>
      <c r="H49" s="774"/>
      <c r="I49" s="774"/>
      <c r="J49" s="774"/>
      <c r="K49" s="774"/>
      <c r="L49" s="774"/>
      <c r="M49" s="774"/>
      <c r="N49" s="172"/>
      <c r="O49" s="172"/>
      <c r="P49" s="172"/>
      <c r="Q49" s="172"/>
      <c r="R49" s="172"/>
      <c r="S49" s="172"/>
      <c r="T49" s="172"/>
      <c r="U49" s="172"/>
      <c r="V49" s="172"/>
      <c r="W49" s="172"/>
      <c r="X49" s="172"/>
      <c r="Y49" s="172"/>
      <c r="Z49" s="172"/>
      <c r="AA49" s="172"/>
      <c r="AB49" s="172"/>
      <c r="AC49" s="172"/>
      <c r="AD49" s="172"/>
      <c r="AE49" s="172"/>
      <c r="AF49" s="172"/>
      <c r="AG49" s="172"/>
      <c r="AH49" s="172"/>
      <c r="AI49" s="765">
        <v>225</v>
      </c>
      <c r="AJ49" s="767">
        <f t="shared" si="28"/>
        <v>-4.869158230300549</v>
      </c>
      <c r="AK49" s="692">
        <f t="shared" ref="AK49:AK57" si="34">AJ49*2</f>
        <v>-9.7383164606010979</v>
      </c>
      <c r="AL49" s="841">
        <f t="shared" ref="AL49:AL57" si="35">AI49</f>
        <v>225</v>
      </c>
      <c r="AM49" s="692">
        <v>24</v>
      </c>
      <c r="AN49" s="692">
        <v>33</v>
      </c>
      <c r="AO49" s="692">
        <v>33</v>
      </c>
      <c r="AP49" s="692">
        <v>36</v>
      </c>
      <c r="AQ49" s="692">
        <v>39</v>
      </c>
      <c r="AS49" s="841">
        <f t="shared" si="29"/>
        <v>225</v>
      </c>
      <c r="AT49" s="692">
        <f t="shared" si="30"/>
        <v>33.738316460601098</v>
      </c>
      <c r="AU49" s="692">
        <f t="shared" si="31"/>
        <v>42.738316460601098</v>
      </c>
      <c r="AV49" s="692">
        <f t="shared" si="32"/>
        <v>42.738316460601098</v>
      </c>
      <c r="AW49" s="692">
        <f t="shared" si="33"/>
        <v>45.738316460601098</v>
      </c>
      <c r="AX49" s="692">
        <f t="shared" ref="AX49:AX57" si="36">AQ49-$AK49</f>
        <v>48.738316460601098</v>
      </c>
    </row>
    <row r="50" spans="7:51" ht="12.75" hidden="1" thickTop="1" x14ac:dyDescent="0.2">
      <c r="G50" s="774"/>
      <c r="H50" s="774"/>
      <c r="I50" s="774"/>
      <c r="J50" s="774"/>
      <c r="K50" s="774"/>
      <c r="L50" s="774"/>
      <c r="M50" s="774"/>
      <c r="N50" s="172"/>
      <c r="O50" s="172"/>
      <c r="P50" s="172"/>
      <c r="Q50" s="172"/>
      <c r="R50" s="172"/>
      <c r="S50" s="172"/>
      <c r="T50" s="172"/>
      <c r="U50" s="172"/>
      <c r="V50" s="172"/>
      <c r="W50" s="172"/>
      <c r="X50" s="172"/>
      <c r="Y50" s="172"/>
      <c r="Z50" s="172"/>
      <c r="AA50" s="172"/>
      <c r="AB50" s="172"/>
      <c r="AC50" s="172"/>
      <c r="AD50" s="172"/>
      <c r="AE50" s="172"/>
      <c r="AF50" s="172"/>
      <c r="AG50" s="172"/>
      <c r="AH50" s="172"/>
      <c r="AI50" s="765">
        <v>275</v>
      </c>
      <c r="AJ50" s="767">
        <f t="shared" si="28"/>
        <v>-3.9862071702670825</v>
      </c>
      <c r="AK50" s="692">
        <f t="shared" si="34"/>
        <v>-7.972414340534165</v>
      </c>
      <c r="AL50" s="841">
        <f t="shared" si="35"/>
        <v>275</v>
      </c>
      <c r="AM50" s="692">
        <v>26</v>
      </c>
      <c r="AN50" s="692">
        <v>35</v>
      </c>
      <c r="AO50" s="692">
        <v>34</v>
      </c>
      <c r="AP50" s="692">
        <v>39</v>
      </c>
      <c r="AQ50" s="692">
        <v>42</v>
      </c>
      <c r="AR50" s="692">
        <v>46</v>
      </c>
      <c r="AS50" s="841">
        <f t="shared" si="29"/>
        <v>275</v>
      </c>
      <c r="AT50" s="692">
        <f t="shared" si="30"/>
        <v>33.972414340534165</v>
      </c>
      <c r="AU50" s="692">
        <f t="shared" si="31"/>
        <v>42.972414340534165</v>
      </c>
      <c r="AV50" s="692">
        <f t="shared" si="32"/>
        <v>41.972414340534165</v>
      </c>
      <c r="AW50" s="692">
        <f t="shared" si="33"/>
        <v>46.972414340534165</v>
      </c>
      <c r="AX50" s="692">
        <f t="shared" si="36"/>
        <v>49.972414340534165</v>
      </c>
      <c r="AY50" s="692">
        <f t="shared" ref="AY50:AY55" si="37">AR50-$AK50</f>
        <v>53.972414340534165</v>
      </c>
    </row>
    <row r="51" spans="7:51" ht="12.75" hidden="1" thickTop="1" x14ac:dyDescent="0.2">
      <c r="G51" s="774"/>
      <c r="H51" s="774"/>
      <c r="I51" s="774"/>
      <c r="J51" s="774"/>
      <c r="K51" s="774"/>
      <c r="L51" s="774"/>
      <c r="M51" s="774"/>
      <c r="N51" s="172"/>
      <c r="O51" s="172"/>
      <c r="P51" s="172"/>
      <c r="Q51" s="172"/>
      <c r="R51" s="172"/>
      <c r="S51" s="172"/>
      <c r="T51" s="172"/>
      <c r="U51" s="172"/>
      <c r="V51" s="172"/>
      <c r="W51" s="172"/>
      <c r="X51" s="172"/>
      <c r="Y51" s="172"/>
      <c r="Z51" s="172"/>
      <c r="AA51" s="172"/>
      <c r="AB51" s="172"/>
      <c r="AC51" s="172"/>
      <c r="AD51" s="172"/>
      <c r="AE51" s="172"/>
      <c r="AF51" s="172"/>
      <c r="AG51" s="172"/>
      <c r="AH51" s="172"/>
      <c r="AI51" s="765">
        <v>325</v>
      </c>
      <c r="AJ51" s="767">
        <f t="shared" si="28"/>
        <v>-3.251169197749153</v>
      </c>
      <c r="AK51" s="692">
        <f t="shared" si="34"/>
        <v>-6.5023383954983061</v>
      </c>
      <c r="AL51" s="841">
        <f t="shared" si="35"/>
        <v>325</v>
      </c>
      <c r="AM51" s="692">
        <v>27</v>
      </c>
      <c r="AN51" s="692">
        <v>36</v>
      </c>
      <c r="AO51" s="692">
        <v>35</v>
      </c>
      <c r="AP51" s="692">
        <v>39</v>
      </c>
      <c r="AQ51" s="692">
        <v>42</v>
      </c>
      <c r="AR51" s="692">
        <v>47</v>
      </c>
      <c r="AS51" s="841">
        <f t="shared" si="29"/>
        <v>325</v>
      </c>
      <c r="AT51" s="692">
        <f t="shared" si="30"/>
        <v>33.502338395498306</v>
      </c>
      <c r="AU51" s="692">
        <f t="shared" si="31"/>
        <v>42.502338395498306</v>
      </c>
      <c r="AV51" s="692">
        <f t="shared" si="32"/>
        <v>41.502338395498306</v>
      </c>
      <c r="AW51" s="692">
        <f t="shared" si="33"/>
        <v>45.502338395498306</v>
      </c>
      <c r="AX51" s="692">
        <f t="shared" si="36"/>
        <v>48.502338395498306</v>
      </c>
      <c r="AY51" s="692">
        <f t="shared" si="37"/>
        <v>53.502338395498306</v>
      </c>
    </row>
    <row r="52" spans="7:51" ht="12.75" hidden="1" thickTop="1" x14ac:dyDescent="0.2">
      <c r="G52" s="774"/>
      <c r="H52" s="774"/>
      <c r="I52" s="774"/>
      <c r="J52" s="774"/>
      <c r="K52" s="774"/>
      <c r="L52" s="774"/>
      <c r="M52" s="774"/>
      <c r="N52" s="172"/>
      <c r="O52" s="172"/>
      <c r="P52" s="172"/>
      <c r="Q52" s="172"/>
      <c r="R52" s="172"/>
      <c r="S52" s="172"/>
      <c r="T52" s="172"/>
      <c r="U52" s="172"/>
      <c r="V52" s="172"/>
      <c r="W52" s="172"/>
      <c r="X52" s="172"/>
      <c r="Y52" s="172"/>
      <c r="Z52" s="172"/>
      <c r="AA52" s="172"/>
      <c r="AB52" s="172"/>
      <c r="AC52" s="172"/>
      <c r="AD52" s="172"/>
      <c r="AE52" s="172"/>
      <c r="AF52" s="172"/>
      <c r="AG52" s="172"/>
      <c r="AH52" s="172"/>
      <c r="AI52" s="765">
        <v>375</v>
      </c>
      <c r="AJ52" s="767">
        <f t="shared" si="28"/>
        <v>-2.6215254857301922</v>
      </c>
      <c r="AK52" s="692">
        <f t="shared" si="34"/>
        <v>-5.2430509714603843</v>
      </c>
      <c r="AL52" s="841">
        <f t="shared" si="35"/>
        <v>375</v>
      </c>
      <c r="AM52" s="692">
        <v>28</v>
      </c>
      <c r="AN52" s="692">
        <v>37</v>
      </c>
      <c r="AO52" s="692">
        <v>37</v>
      </c>
      <c r="AP52" s="692">
        <v>41</v>
      </c>
      <c r="AQ52" s="692">
        <v>43</v>
      </c>
      <c r="AR52" s="692">
        <v>48</v>
      </c>
      <c r="AS52" s="841">
        <f t="shared" si="29"/>
        <v>375</v>
      </c>
      <c r="AT52" s="692">
        <f t="shared" si="30"/>
        <v>33.243050971460384</v>
      </c>
      <c r="AU52" s="692">
        <f t="shared" si="31"/>
        <v>42.243050971460384</v>
      </c>
      <c r="AV52" s="692">
        <f t="shared" si="32"/>
        <v>42.243050971460384</v>
      </c>
      <c r="AW52" s="692">
        <f t="shared" si="33"/>
        <v>46.243050971460384</v>
      </c>
      <c r="AX52" s="692">
        <f t="shared" si="36"/>
        <v>48.243050971460384</v>
      </c>
      <c r="AY52" s="692">
        <f t="shared" si="37"/>
        <v>53.243050971460384</v>
      </c>
    </row>
    <row r="53" spans="7:51" ht="12.75" hidden="1" thickTop="1" x14ac:dyDescent="0.2">
      <c r="G53" s="774"/>
      <c r="H53" s="774"/>
      <c r="I53" s="774"/>
      <c r="J53" s="774"/>
      <c r="K53" s="774"/>
      <c r="L53" s="774"/>
      <c r="M53" s="774"/>
      <c r="N53" s="172"/>
      <c r="O53" s="172"/>
      <c r="P53" s="172"/>
      <c r="Q53" s="172"/>
      <c r="R53" s="172"/>
      <c r="S53" s="172"/>
      <c r="T53" s="172"/>
      <c r="U53" s="172"/>
      <c r="V53" s="172"/>
      <c r="W53" s="172"/>
      <c r="X53" s="172"/>
      <c r="Y53" s="172"/>
      <c r="Z53" s="172"/>
      <c r="AA53" s="172"/>
      <c r="AB53" s="172"/>
      <c r="AC53" s="172"/>
      <c r="AD53" s="172"/>
      <c r="AE53" s="172"/>
      <c r="AF53" s="172"/>
      <c r="AG53" s="172"/>
      <c r="AH53" s="172"/>
      <c r="AI53" s="765">
        <v>425</v>
      </c>
      <c r="AJ53" s="767">
        <f t="shared" si="28"/>
        <v>-2.070807656732562</v>
      </c>
      <c r="AK53" s="692">
        <f t="shared" si="34"/>
        <v>-4.1416153134651239</v>
      </c>
      <c r="AL53" s="841">
        <f t="shared" si="35"/>
        <v>425</v>
      </c>
      <c r="AM53" s="692">
        <v>29</v>
      </c>
      <c r="AN53" s="692">
        <v>38</v>
      </c>
      <c r="AO53" s="692">
        <v>38</v>
      </c>
      <c r="AP53" s="692">
        <v>41</v>
      </c>
      <c r="AQ53" s="692">
        <v>44</v>
      </c>
      <c r="AR53" s="692">
        <v>50</v>
      </c>
      <c r="AS53" s="841">
        <f t="shared" si="29"/>
        <v>425</v>
      </c>
      <c r="AT53" s="692">
        <f t="shared" si="30"/>
        <v>33.141615313465124</v>
      </c>
      <c r="AU53" s="692">
        <f t="shared" si="31"/>
        <v>42.141615313465124</v>
      </c>
      <c r="AV53" s="692">
        <f t="shared" si="32"/>
        <v>42.141615313465124</v>
      </c>
      <c r="AW53" s="692">
        <f t="shared" si="33"/>
        <v>45.141615313465124</v>
      </c>
      <c r="AX53" s="692">
        <f t="shared" si="36"/>
        <v>48.141615313465124</v>
      </c>
      <c r="AY53" s="692">
        <f t="shared" si="37"/>
        <v>54.141615313465124</v>
      </c>
    </row>
    <row r="54" spans="7:51" ht="12.75" hidden="1" thickTop="1" x14ac:dyDescent="0.2">
      <c r="G54" s="774"/>
      <c r="H54" s="774"/>
      <c r="I54" s="774"/>
      <c r="J54" s="774"/>
      <c r="K54" s="774"/>
      <c r="L54" s="774"/>
      <c r="M54" s="774"/>
      <c r="N54" s="172"/>
      <c r="O54" s="172"/>
      <c r="P54" s="172"/>
      <c r="Q54" s="172"/>
      <c r="R54" s="172"/>
      <c r="S54" s="172"/>
      <c r="T54" s="172"/>
      <c r="U54" s="172"/>
      <c r="V54" s="172"/>
      <c r="W54" s="172"/>
      <c r="X54" s="172"/>
      <c r="Y54" s="172"/>
      <c r="Z54" s="172"/>
      <c r="AA54" s="172"/>
      <c r="AB54" s="172"/>
      <c r="AC54" s="172"/>
      <c r="AD54" s="172"/>
      <c r="AE54" s="172"/>
      <c r="AF54" s="172"/>
      <c r="AG54" s="172"/>
      <c r="AH54" s="172"/>
      <c r="AI54" s="765">
        <v>475</v>
      </c>
      <c r="AJ54" s="767">
        <f t="shared" si="28"/>
        <v>-1.581414862247577</v>
      </c>
      <c r="AK54" s="692">
        <f t="shared" si="34"/>
        <v>-3.162829724495154</v>
      </c>
      <c r="AL54" s="841">
        <f t="shared" si="35"/>
        <v>475</v>
      </c>
      <c r="AM54" s="692">
        <v>30</v>
      </c>
      <c r="AN54" s="692">
        <v>41</v>
      </c>
      <c r="AO54" s="692">
        <v>39</v>
      </c>
      <c r="AP54" s="692">
        <v>43</v>
      </c>
      <c r="AQ54" s="692">
        <v>45</v>
      </c>
      <c r="AR54" s="692">
        <v>50</v>
      </c>
      <c r="AS54" s="841">
        <f t="shared" si="29"/>
        <v>475</v>
      </c>
      <c r="AT54" s="692">
        <f t="shared" si="30"/>
        <v>33.162829724495154</v>
      </c>
      <c r="AU54" s="692">
        <f t="shared" si="31"/>
        <v>44.162829724495154</v>
      </c>
      <c r="AV54" s="692">
        <f t="shared" si="32"/>
        <v>42.162829724495154</v>
      </c>
      <c r="AW54" s="692">
        <f t="shared" si="33"/>
        <v>46.162829724495154</v>
      </c>
      <c r="AX54" s="692">
        <f t="shared" si="36"/>
        <v>48.162829724495154</v>
      </c>
      <c r="AY54" s="692">
        <f t="shared" si="37"/>
        <v>53.162829724495154</v>
      </c>
    </row>
    <row r="55" spans="7:51" ht="12.75" hidden="1" thickTop="1" x14ac:dyDescent="0.2">
      <c r="G55" s="774"/>
      <c r="H55" s="774"/>
      <c r="I55" s="774"/>
      <c r="J55" s="774"/>
      <c r="K55" s="774"/>
      <c r="L55" s="774"/>
      <c r="M55" s="774"/>
      <c r="N55" s="172"/>
      <c r="O55" s="172"/>
      <c r="P55" s="172"/>
      <c r="Q55" s="172"/>
      <c r="R55" s="172"/>
      <c r="S55" s="172"/>
      <c r="T55" s="172"/>
      <c r="U55" s="172"/>
      <c r="V55" s="172"/>
      <c r="W55" s="172"/>
      <c r="X55" s="172"/>
      <c r="Y55" s="172"/>
      <c r="Z55" s="172"/>
      <c r="AA55" s="172"/>
      <c r="AB55" s="172"/>
      <c r="AC55" s="172"/>
      <c r="AD55" s="172"/>
      <c r="AE55" s="172"/>
      <c r="AF55" s="172"/>
      <c r="AG55" s="172"/>
      <c r="AH55" s="172"/>
      <c r="AI55" s="765">
        <v>525</v>
      </c>
      <c r="AJ55" s="767">
        <f t="shared" si="28"/>
        <v>-1.1410476445968527</v>
      </c>
      <c r="AK55" s="692">
        <f t="shared" si="34"/>
        <v>-2.2820952891937054</v>
      </c>
      <c r="AL55" s="841">
        <f t="shared" si="35"/>
        <v>525</v>
      </c>
      <c r="AM55" s="692">
        <v>30</v>
      </c>
      <c r="AN55" s="692">
        <v>42</v>
      </c>
      <c r="AO55" s="692">
        <v>39</v>
      </c>
      <c r="AP55" s="692">
        <v>43</v>
      </c>
      <c r="AQ55" s="692">
        <v>46</v>
      </c>
      <c r="AR55" s="692">
        <v>51</v>
      </c>
      <c r="AS55" s="841">
        <f t="shared" si="29"/>
        <v>525</v>
      </c>
      <c r="AT55" s="692">
        <f t="shared" si="30"/>
        <v>32.282095289193705</v>
      </c>
      <c r="AU55" s="692">
        <f t="shared" si="31"/>
        <v>44.282095289193705</v>
      </c>
      <c r="AV55" s="692">
        <f t="shared" si="32"/>
        <v>41.282095289193705</v>
      </c>
      <c r="AW55" s="692">
        <f t="shared" si="33"/>
        <v>45.282095289193705</v>
      </c>
      <c r="AX55" s="692">
        <f t="shared" si="36"/>
        <v>48.282095289193705</v>
      </c>
      <c r="AY55" s="692">
        <f t="shared" si="37"/>
        <v>53.282095289193705</v>
      </c>
    </row>
    <row r="56" spans="7:51" ht="12.75" hidden="1" thickTop="1" x14ac:dyDescent="0.2">
      <c r="G56" s="774"/>
      <c r="H56" s="774"/>
      <c r="I56" s="774"/>
      <c r="J56" s="774"/>
      <c r="K56" s="774"/>
      <c r="L56" s="774"/>
      <c r="M56" s="774"/>
      <c r="N56" s="172"/>
      <c r="O56" s="172"/>
      <c r="P56" s="172"/>
      <c r="Q56" s="172"/>
      <c r="R56" s="172"/>
      <c r="S56" s="172"/>
      <c r="T56" s="172"/>
      <c r="U56" s="172"/>
      <c r="V56" s="172"/>
      <c r="W56" s="172"/>
      <c r="X56" s="172"/>
      <c r="Y56" s="172"/>
      <c r="Z56" s="172"/>
      <c r="AA56" s="172"/>
      <c r="AB56" s="172"/>
      <c r="AC56" s="172"/>
      <c r="AD56" s="172"/>
      <c r="AE56" s="172"/>
      <c r="AF56" s="172"/>
      <c r="AG56" s="172"/>
      <c r="AH56" s="172"/>
      <c r="AI56" s="765">
        <v>575</v>
      </c>
      <c r="AJ56" s="767">
        <f t="shared" si="28"/>
        <v>-0.74077182049165557</v>
      </c>
      <c r="AK56" s="692">
        <f t="shared" si="34"/>
        <v>-1.4815436409833111</v>
      </c>
      <c r="AL56" s="841">
        <f t="shared" si="35"/>
        <v>575</v>
      </c>
      <c r="AM56" s="692">
        <v>31</v>
      </c>
      <c r="AN56" s="692">
        <v>43</v>
      </c>
      <c r="AO56" s="692">
        <v>40</v>
      </c>
      <c r="AP56" s="692">
        <v>44</v>
      </c>
      <c r="AQ56" s="692">
        <v>47</v>
      </c>
      <c r="AS56" s="841">
        <f t="shared" si="29"/>
        <v>575</v>
      </c>
      <c r="AT56" s="692">
        <f t="shared" si="30"/>
        <v>32.481543640983311</v>
      </c>
      <c r="AU56" s="692">
        <f t="shared" si="31"/>
        <v>44.481543640983311</v>
      </c>
      <c r="AV56" s="692">
        <f t="shared" si="32"/>
        <v>41.481543640983311</v>
      </c>
      <c r="AW56" s="692">
        <f t="shared" si="33"/>
        <v>45.481543640983311</v>
      </c>
      <c r="AX56" s="692">
        <f t="shared" si="36"/>
        <v>48.481543640983311</v>
      </c>
    </row>
    <row r="57" spans="7:51" ht="12.75" hidden="1" thickTop="1" x14ac:dyDescent="0.2">
      <c r="G57" s="774"/>
      <c r="H57" s="774"/>
      <c r="I57" s="774"/>
      <c r="J57" s="774"/>
      <c r="K57" s="774"/>
      <c r="L57" s="774"/>
      <c r="M57" s="774"/>
      <c r="N57" s="172"/>
      <c r="O57" s="172"/>
      <c r="P57" s="172"/>
      <c r="Q57" s="172"/>
      <c r="R57" s="172"/>
      <c r="S57" s="172"/>
      <c r="T57" s="172"/>
      <c r="U57" s="172"/>
      <c r="V57" s="172"/>
      <c r="W57" s="172"/>
      <c r="X57" s="172"/>
      <c r="Y57" s="172"/>
      <c r="Z57" s="172"/>
      <c r="AA57" s="172"/>
      <c r="AB57" s="172"/>
      <c r="AC57" s="172"/>
      <c r="AD57" s="172"/>
      <c r="AE57" s="172"/>
      <c r="AF57" s="172"/>
      <c r="AG57" s="172"/>
      <c r="AH57" s="172"/>
      <c r="AI57" s="765">
        <v>625</v>
      </c>
      <c r="AJ57" s="767">
        <f t="shared" si="28"/>
        <v>-0.37389274115983184</v>
      </c>
      <c r="AK57" s="692">
        <f t="shared" si="34"/>
        <v>-0.74778548231966369</v>
      </c>
      <c r="AL57" s="841">
        <f t="shared" si="35"/>
        <v>625</v>
      </c>
      <c r="AO57" s="692">
        <v>41</v>
      </c>
      <c r="AP57" s="692">
        <v>45</v>
      </c>
      <c r="AQ57" s="692">
        <v>48</v>
      </c>
      <c r="AS57" s="841">
        <f t="shared" si="29"/>
        <v>625</v>
      </c>
      <c r="AV57" s="692">
        <f>AO57-$AK57</f>
        <v>41.747785482319664</v>
      </c>
      <c r="AW57" s="692">
        <f>AP57-$AK57</f>
        <v>45.747785482319664</v>
      </c>
      <c r="AX57" s="692">
        <f t="shared" si="36"/>
        <v>48.747785482319664</v>
      </c>
    </row>
    <row r="58" spans="7:51" ht="13.5" hidden="1" thickTop="1" thickBot="1" x14ac:dyDescent="0.25">
      <c r="G58" s="774"/>
      <c r="H58" s="774"/>
      <c r="I58" s="774"/>
      <c r="J58" s="774"/>
      <c r="K58" s="774"/>
      <c r="L58" s="774"/>
      <c r="M58" s="774"/>
      <c r="N58" s="172"/>
      <c r="O58" s="172"/>
      <c r="P58" s="172"/>
      <c r="Q58" s="172"/>
      <c r="R58" s="172"/>
      <c r="S58" s="172"/>
      <c r="T58" s="172"/>
      <c r="U58" s="172"/>
      <c r="V58" s="172"/>
      <c r="W58" s="172"/>
      <c r="X58" s="172"/>
      <c r="Y58" s="172"/>
      <c r="Z58" s="172"/>
      <c r="AA58" s="172"/>
      <c r="AB58" s="172"/>
      <c r="AC58" s="172"/>
      <c r="AD58" s="172"/>
      <c r="AE58" s="172"/>
      <c r="AF58" s="172"/>
      <c r="AG58" s="172"/>
      <c r="AH58" s="172"/>
      <c r="AI58" s="765"/>
      <c r="AJ58" s="771"/>
      <c r="AL58" s="841"/>
      <c r="AS58" s="692" t="s">
        <v>358</v>
      </c>
      <c r="AT58" s="692">
        <f t="shared" ref="AT58:AY58" si="38">AVERAGE(AT48:AT57)</f>
        <v>33.274898618411591</v>
      </c>
      <c r="AU58" s="692">
        <f t="shared" si="38"/>
        <v>43.163787507300484</v>
      </c>
      <c r="AV58" s="692">
        <f t="shared" si="38"/>
        <v>42.022187304802401</v>
      </c>
      <c r="AW58" s="692">
        <f t="shared" si="38"/>
        <v>45.922187304802399</v>
      </c>
      <c r="AX58" s="692">
        <f t="shared" si="38"/>
        <v>48.58577662428344</v>
      </c>
      <c r="AY58" s="692">
        <f t="shared" si="38"/>
        <v>53.550724005774477</v>
      </c>
    </row>
    <row r="59" spans="7:51" ht="12.75" hidden="1" thickTop="1" x14ac:dyDescent="0.2">
      <c r="G59" s="774"/>
      <c r="H59" s="774"/>
      <c r="I59" s="774"/>
      <c r="J59" s="774"/>
      <c r="K59" s="774"/>
      <c r="L59" s="774"/>
      <c r="M59" s="774"/>
      <c r="N59" s="172"/>
      <c r="O59" s="172"/>
      <c r="P59" s="172"/>
      <c r="Q59" s="172"/>
      <c r="R59" s="172"/>
      <c r="S59" s="172"/>
      <c r="T59" s="172"/>
      <c r="U59" s="172"/>
      <c r="V59" s="172"/>
      <c r="W59" s="172"/>
      <c r="X59" s="172"/>
      <c r="Y59" s="172"/>
      <c r="Z59" s="172"/>
      <c r="AA59" s="172"/>
      <c r="AB59" s="172"/>
      <c r="AC59" s="172"/>
      <c r="AD59" s="172"/>
      <c r="AE59" s="172"/>
      <c r="AF59" s="172"/>
      <c r="AG59" s="172"/>
      <c r="AH59" s="172"/>
    </row>
    <row r="60" spans="7:51" ht="12.75" hidden="1" thickTop="1" x14ac:dyDescent="0.2">
      <c r="G60" s="774"/>
      <c r="H60" s="774"/>
      <c r="I60" s="774"/>
      <c r="J60" s="774"/>
      <c r="K60" s="774"/>
      <c r="L60" s="774"/>
      <c r="M60" s="774"/>
      <c r="N60" s="172"/>
      <c r="O60" s="172"/>
      <c r="P60" s="172"/>
      <c r="Q60" s="172"/>
      <c r="R60" s="172"/>
      <c r="S60" s="172"/>
      <c r="T60" s="172"/>
      <c r="U60" s="172"/>
      <c r="V60" s="172"/>
      <c r="W60" s="172"/>
      <c r="X60" s="172"/>
      <c r="Y60" s="172"/>
      <c r="Z60" s="172"/>
      <c r="AA60" s="172"/>
      <c r="AB60" s="172"/>
      <c r="AC60" s="172"/>
      <c r="AD60" s="172"/>
      <c r="AE60" s="172"/>
      <c r="AF60" s="172"/>
      <c r="AG60" s="172"/>
      <c r="AH60" s="172"/>
    </row>
    <row r="61" spans="7:51" ht="12.75" hidden="1" thickTop="1" x14ac:dyDescent="0.2">
      <c r="G61" s="774"/>
      <c r="H61" s="774"/>
      <c r="I61" s="774"/>
      <c r="J61" s="774"/>
      <c r="K61" s="774"/>
      <c r="L61" s="774"/>
      <c r="M61" s="774"/>
      <c r="N61" s="172"/>
      <c r="O61" s="172"/>
      <c r="P61" s="172"/>
      <c r="Q61" s="172"/>
      <c r="R61" s="172"/>
      <c r="S61" s="172"/>
      <c r="T61" s="172"/>
      <c r="U61" s="172"/>
      <c r="V61" s="172"/>
      <c r="W61" s="172"/>
      <c r="X61" s="172"/>
      <c r="Y61" s="172"/>
      <c r="Z61" s="172"/>
      <c r="AA61" s="172"/>
      <c r="AB61" s="172"/>
      <c r="AC61" s="172"/>
      <c r="AD61" s="172"/>
      <c r="AE61" s="172"/>
      <c r="AF61" s="172"/>
      <c r="AG61" s="172"/>
      <c r="AH61" s="172"/>
    </row>
    <row r="62" spans="7:51" ht="12.75" hidden="1" thickTop="1" x14ac:dyDescent="0.2">
      <c r="G62" s="774"/>
      <c r="H62" s="774"/>
      <c r="I62" s="774"/>
      <c r="J62" s="774"/>
      <c r="K62" s="774"/>
      <c r="L62" s="774"/>
      <c r="M62" s="774"/>
      <c r="N62" s="172"/>
      <c r="O62" s="172"/>
      <c r="P62" s="172"/>
      <c r="Q62" s="172"/>
      <c r="R62" s="172"/>
      <c r="S62" s="172"/>
      <c r="T62" s="172"/>
      <c r="U62" s="172"/>
      <c r="V62" s="172"/>
      <c r="W62" s="172"/>
      <c r="X62" s="172"/>
      <c r="Y62" s="172"/>
      <c r="Z62" s="172"/>
      <c r="AA62" s="172"/>
      <c r="AB62" s="172"/>
      <c r="AC62" s="172"/>
      <c r="AD62" s="172"/>
      <c r="AE62" s="172"/>
      <c r="AF62" s="172"/>
      <c r="AG62" s="172"/>
      <c r="AH62" s="172"/>
      <c r="AI62" s="713" t="s">
        <v>41</v>
      </c>
      <c r="AJ62" s="757"/>
      <c r="AK62" s="692" t="s">
        <v>297</v>
      </c>
      <c r="AM62" s="692">
        <v>500</v>
      </c>
      <c r="AN62" s="692">
        <v>800</v>
      </c>
      <c r="AO62" s="692">
        <v>800</v>
      </c>
      <c r="AP62" s="692">
        <v>1000</v>
      </c>
      <c r="AQ62" s="692">
        <v>1200</v>
      </c>
      <c r="AR62" s="692">
        <v>1400</v>
      </c>
      <c r="AT62" s="692">
        <f t="shared" ref="AT62:AY62" si="39">AM62</f>
        <v>500</v>
      </c>
      <c r="AU62" s="692">
        <f t="shared" si="39"/>
        <v>800</v>
      </c>
      <c r="AV62" s="692">
        <f t="shared" si="39"/>
        <v>800</v>
      </c>
      <c r="AW62" s="692">
        <f t="shared" si="39"/>
        <v>1000</v>
      </c>
      <c r="AX62" s="692">
        <f t="shared" si="39"/>
        <v>1200</v>
      </c>
      <c r="AY62" s="692">
        <f t="shared" si="39"/>
        <v>1400</v>
      </c>
    </row>
    <row r="63" spans="7:51" ht="12.75" hidden="1" thickTop="1" x14ac:dyDescent="0.2">
      <c r="G63" s="774"/>
      <c r="H63" s="774"/>
      <c r="I63" s="774"/>
      <c r="J63" s="774"/>
      <c r="K63" s="774"/>
      <c r="L63" s="774"/>
      <c r="M63" s="774"/>
      <c r="N63" s="172"/>
      <c r="O63" s="172"/>
      <c r="P63" s="172"/>
      <c r="Q63" s="172"/>
      <c r="R63" s="172"/>
      <c r="S63" s="172"/>
      <c r="T63" s="172"/>
      <c r="U63" s="172"/>
      <c r="V63" s="172"/>
      <c r="W63" s="172"/>
      <c r="X63" s="172"/>
      <c r="Y63" s="172"/>
      <c r="Z63" s="172"/>
      <c r="AA63" s="172"/>
      <c r="AB63" s="172"/>
      <c r="AC63" s="172"/>
      <c r="AD63" s="172"/>
      <c r="AE63" s="172"/>
      <c r="AF63" s="172"/>
      <c r="AG63" s="172"/>
      <c r="AH63" s="172"/>
      <c r="AI63" s="765">
        <v>175</v>
      </c>
      <c r="AJ63" s="769">
        <f t="shared" ref="AJ63:AJ72" si="40">IF(Mast_Rasse=3,4.4*LN(AI63)+$V$24*1.06-28.7,0.173+0.01372*AI63+1.47*Mast_LMZ/1000)*$U$5</f>
        <v>-5.9749417147365342</v>
      </c>
      <c r="AK63" s="692">
        <f>AJ63*1.4</f>
        <v>-8.3649184006311472</v>
      </c>
      <c r="AL63" s="841">
        <f>AI63</f>
        <v>175</v>
      </c>
      <c r="AM63" s="692">
        <v>11</v>
      </c>
      <c r="AN63" s="692">
        <v>14</v>
      </c>
      <c r="AO63" s="692">
        <v>14</v>
      </c>
      <c r="AP63" s="692">
        <v>16</v>
      </c>
      <c r="AS63" s="841">
        <f t="shared" ref="AS63:AS72" si="41">AI63</f>
        <v>175</v>
      </c>
      <c r="AT63" s="692">
        <f t="shared" ref="AT63:AT71" si="42">AM63-$AK63</f>
        <v>19.364918400631147</v>
      </c>
      <c r="AU63" s="692">
        <f t="shared" ref="AU63:AU71" si="43">AN63-$AK63</f>
        <v>22.364918400631147</v>
      </c>
      <c r="AV63" s="692">
        <f t="shared" ref="AV63:AV71" si="44">AO63-$AK63</f>
        <v>22.364918400631147</v>
      </c>
      <c r="AW63" s="692">
        <f t="shared" ref="AW63:AW71" si="45">AP63-$AK63</f>
        <v>24.364918400631147</v>
      </c>
    </row>
    <row r="64" spans="7:51" ht="12.75" hidden="1" thickTop="1" x14ac:dyDescent="0.2">
      <c r="G64" s="774"/>
      <c r="H64" s="774"/>
      <c r="I64" s="774"/>
      <c r="J64" s="774"/>
      <c r="K64" s="774"/>
      <c r="L64" s="774"/>
      <c r="M64" s="774"/>
      <c r="N64" s="172"/>
      <c r="O64" s="172"/>
      <c r="P64" s="172"/>
      <c r="Q64" s="172"/>
      <c r="R64" s="172"/>
      <c r="S64" s="172"/>
      <c r="T64" s="172"/>
      <c r="U64" s="172"/>
      <c r="V64" s="172"/>
      <c r="W64" s="172"/>
      <c r="X64" s="172"/>
      <c r="Y64" s="172"/>
      <c r="Z64" s="172"/>
      <c r="AA64" s="172"/>
      <c r="AB64" s="172"/>
      <c r="AC64" s="172"/>
      <c r="AD64" s="172"/>
      <c r="AE64" s="172"/>
      <c r="AF64" s="172"/>
      <c r="AG64" s="172"/>
      <c r="AH64" s="172"/>
      <c r="AI64" s="765">
        <v>225</v>
      </c>
      <c r="AJ64" s="767">
        <f t="shared" si="40"/>
        <v>-4.869158230300549</v>
      </c>
      <c r="AK64" s="692">
        <f t="shared" ref="AK64:AK72" si="46">AJ64*1.4</f>
        <v>-6.816821522420768</v>
      </c>
      <c r="AL64" s="841">
        <f t="shared" ref="AL64:AL72" si="47">AI64</f>
        <v>225</v>
      </c>
      <c r="AM64" s="692">
        <v>12</v>
      </c>
      <c r="AN64" s="692">
        <v>15</v>
      </c>
      <c r="AO64" s="692">
        <v>16</v>
      </c>
      <c r="AP64" s="692">
        <v>17</v>
      </c>
      <c r="AQ64" s="692">
        <v>19</v>
      </c>
      <c r="AS64" s="841">
        <f t="shared" si="41"/>
        <v>225</v>
      </c>
      <c r="AT64" s="692">
        <f t="shared" si="42"/>
        <v>18.816821522420767</v>
      </c>
      <c r="AU64" s="692">
        <f t="shared" si="43"/>
        <v>21.816821522420767</v>
      </c>
      <c r="AV64" s="692">
        <f t="shared" si="44"/>
        <v>22.816821522420767</v>
      </c>
      <c r="AW64" s="692">
        <f t="shared" si="45"/>
        <v>23.816821522420767</v>
      </c>
      <c r="AX64" s="692">
        <f t="shared" ref="AX64:AX72" si="48">AQ64-$AK64</f>
        <v>25.816821522420767</v>
      </c>
    </row>
    <row r="65" spans="7:51" ht="12.75" hidden="1" thickTop="1" x14ac:dyDescent="0.2">
      <c r="G65" s="774"/>
      <c r="H65" s="774"/>
      <c r="I65" s="774"/>
      <c r="J65" s="774"/>
      <c r="K65" s="774"/>
      <c r="L65" s="774"/>
      <c r="M65" s="774"/>
      <c r="N65" s="172"/>
      <c r="O65" s="172"/>
      <c r="P65" s="172"/>
      <c r="Q65" s="172"/>
      <c r="R65" s="172"/>
      <c r="S65" s="172"/>
      <c r="T65" s="172"/>
      <c r="U65" s="172"/>
      <c r="V65" s="172"/>
      <c r="W65" s="172"/>
      <c r="X65" s="172"/>
      <c r="Y65" s="172"/>
      <c r="Z65" s="172"/>
      <c r="AA65" s="172"/>
      <c r="AB65" s="172"/>
      <c r="AC65" s="172"/>
      <c r="AD65" s="172"/>
      <c r="AE65" s="172"/>
      <c r="AF65" s="172"/>
      <c r="AG65" s="172"/>
      <c r="AH65" s="172"/>
      <c r="AI65" s="765">
        <v>275</v>
      </c>
      <c r="AJ65" s="767">
        <f t="shared" si="40"/>
        <v>-3.9862071702670825</v>
      </c>
      <c r="AK65" s="692">
        <f t="shared" si="46"/>
        <v>-5.5806900383739153</v>
      </c>
      <c r="AL65" s="841">
        <f t="shared" si="47"/>
        <v>275</v>
      </c>
      <c r="AM65" s="692">
        <v>13</v>
      </c>
      <c r="AN65" s="692">
        <v>16</v>
      </c>
      <c r="AO65" s="692">
        <v>16</v>
      </c>
      <c r="AP65" s="692">
        <v>18</v>
      </c>
      <c r="AQ65" s="692">
        <v>20</v>
      </c>
      <c r="AR65" s="692">
        <v>22</v>
      </c>
      <c r="AS65" s="841">
        <f t="shared" si="41"/>
        <v>275</v>
      </c>
      <c r="AT65" s="692">
        <f t="shared" si="42"/>
        <v>18.580690038373916</v>
      </c>
      <c r="AU65" s="692">
        <f t="shared" si="43"/>
        <v>21.580690038373916</v>
      </c>
      <c r="AV65" s="692">
        <f t="shared" si="44"/>
        <v>21.580690038373916</v>
      </c>
      <c r="AW65" s="692">
        <f t="shared" si="45"/>
        <v>23.580690038373916</v>
      </c>
      <c r="AX65" s="692">
        <f t="shared" si="48"/>
        <v>25.580690038373916</v>
      </c>
      <c r="AY65" s="692">
        <f t="shared" ref="AY65:AY70" si="49">AR65-$AK65</f>
        <v>27.580690038373916</v>
      </c>
    </row>
    <row r="66" spans="7:51" ht="12.75" hidden="1" thickTop="1" x14ac:dyDescent="0.2">
      <c r="G66" s="774"/>
      <c r="H66" s="774"/>
      <c r="I66" s="774"/>
      <c r="J66" s="774"/>
      <c r="K66" s="774"/>
      <c r="L66" s="774"/>
      <c r="M66" s="774"/>
      <c r="N66" s="172"/>
      <c r="O66" s="172"/>
      <c r="P66" s="172"/>
      <c r="Q66" s="172"/>
      <c r="R66" s="172"/>
      <c r="S66" s="172"/>
      <c r="T66" s="172"/>
      <c r="U66" s="172"/>
      <c r="V66" s="172"/>
      <c r="W66" s="172"/>
      <c r="X66" s="172"/>
      <c r="Y66" s="172"/>
      <c r="Z66" s="172"/>
      <c r="AA66" s="172"/>
      <c r="AB66" s="172"/>
      <c r="AC66" s="172"/>
      <c r="AD66" s="172"/>
      <c r="AE66" s="172"/>
      <c r="AF66" s="172"/>
      <c r="AG66" s="172"/>
      <c r="AH66" s="172"/>
      <c r="AI66" s="765">
        <v>325</v>
      </c>
      <c r="AJ66" s="767">
        <f t="shared" si="40"/>
        <v>-3.251169197749153</v>
      </c>
      <c r="AK66" s="692">
        <f t="shared" si="46"/>
        <v>-4.5516368768488142</v>
      </c>
      <c r="AL66" s="841">
        <f t="shared" si="47"/>
        <v>325</v>
      </c>
      <c r="AM66" s="692">
        <v>14</v>
      </c>
      <c r="AN66" s="692">
        <v>17</v>
      </c>
      <c r="AO66" s="692">
        <v>17</v>
      </c>
      <c r="AP66" s="692">
        <v>19</v>
      </c>
      <c r="AQ66" s="692">
        <v>21</v>
      </c>
      <c r="AR66" s="692">
        <v>23</v>
      </c>
      <c r="AS66" s="841">
        <f t="shared" si="41"/>
        <v>325</v>
      </c>
      <c r="AT66" s="692">
        <f t="shared" si="42"/>
        <v>18.551636876848814</v>
      </c>
      <c r="AU66" s="692">
        <f t="shared" si="43"/>
        <v>21.551636876848814</v>
      </c>
      <c r="AV66" s="692">
        <f t="shared" si="44"/>
        <v>21.551636876848814</v>
      </c>
      <c r="AW66" s="692">
        <f t="shared" si="45"/>
        <v>23.551636876848814</v>
      </c>
      <c r="AX66" s="692">
        <f t="shared" si="48"/>
        <v>25.551636876848814</v>
      </c>
      <c r="AY66" s="692">
        <f t="shared" si="49"/>
        <v>27.551636876848814</v>
      </c>
    </row>
    <row r="67" spans="7:51" ht="12.75" hidden="1" thickTop="1" x14ac:dyDescent="0.2">
      <c r="G67" s="774"/>
      <c r="H67" s="774"/>
      <c r="I67" s="774"/>
      <c r="J67" s="774"/>
      <c r="K67" s="774"/>
      <c r="L67" s="774"/>
      <c r="M67" s="774"/>
      <c r="N67" s="172"/>
      <c r="O67" s="172"/>
      <c r="P67" s="172"/>
      <c r="Q67" s="172"/>
      <c r="R67" s="172"/>
      <c r="S67" s="172"/>
      <c r="T67" s="172"/>
      <c r="U67" s="172"/>
      <c r="V67" s="172"/>
      <c r="W67" s="172"/>
      <c r="X67" s="172"/>
      <c r="Y67" s="172"/>
      <c r="Z67" s="172"/>
      <c r="AA67" s="172"/>
      <c r="AB67" s="172"/>
      <c r="AC67" s="172"/>
      <c r="AD67" s="172"/>
      <c r="AE67" s="172"/>
      <c r="AF67" s="172"/>
      <c r="AG67" s="172"/>
      <c r="AH67" s="172"/>
      <c r="AI67" s="765">
        <v>375</v>
      </c>
      <c r="AJ67" s="767">
        <f t="shared" si="40"/>
        <v>-2.6215254857301922</v>
      </c>
      <c r="AK67" s="692">
        <f t="shared" si="46"/>
        <v>-3.6701356800222689</v>
      </c>
      <c r="AL67" s="841">
        <f t="shared" si="47"/>
        <v>375</v>
      </c>
      <c r="AM67" s="692">
        <v>15</v>
      </c>
      <c r="AN67" s="692">
        <v>19</v>
      </c>
      <c r="AO67" s="692">
        <v>18</v>
      </c>
      <c r="AP67" s="692">
        <v>20</v>
      </c>
      <c r="AQ67" s="692">
        <v>22</v>
      </c>
      <c r="AR67" s="692">
        <v>24</v>
      </c>
      <c r="AS67" s="841">
        <f t="shared" si="41"/>
        <v>375</v>
      </c>
      <c r="AT67" s="692">
        <f t="shared" si="42"/>
        <v>18.67013568002227</v>
      </c>
      <c r="AU67" s="692">
        <f t="shared" si="43"/>
        <v>22.67013568002227</v>
      </c>
      <c r="AV67" s="692">
        <f t="shared" si="44"/>
        <v>21.67013568002227</v>
      </c>
      <c r="AW67" s="692">
        <f t="shared" si="45"/>
        <v>23.67013568002227</v>
      </c>
      <c r="AX67" s="692">
        <f t="shared" si="48"/>
        <v>25.67013568002227</v>
      </c>
      <c r="AY67" s="692">
        <f t="shared" si="49"/>
        <v>27.67013568002227</v>
      </c>
    </row>
    <row r="68" spans="7:51" ht="12.75" hidden="1" thickTop="1" x14ac:dyDescent="0.2">
      <c r="G68" s="774"/>
      <c r="H68" s="774"/>
      <c r="I68" s="774"/>
      <c r="J68" s="774"/>
      <c r="K68" s="774"/>
      <c r="L68" s="774"/>
      <c r="M68" s="774"/>
      <c r="N68" s="172"/>
      <c r="O68" s="172"/>
      <c r="P68" s="172"/>
      <c r="Q68" s="172"/>
      <c r="R68" s="172"/>
      <c r="S68" s="172"/>
      <c r="T68" s="172"/>
      <c r="U68" s="172"/>
      <c r="V68" s="172"/>
      <c r="W68" s="172"/>
      <c r="X68" s="172"/>
      <c r="Y68" s="172"/>
      <c r="Z68" s="172"/>
      <c r="AA68" s="172"/>
      <c r="AB68" s="172"/>
      <c r="AC68" s="172"/>
      <c r="AD68" s="172"/>
      <c r="AE68" s="172"/>
      <c r="AF68" s="172"/>
      <c r="AG68" s="172"/>
      <c r="AH68" s="172"/>
      <c r="AI68" s="765">
        <v>425</v>
      </c>
      <c r="AJ68" s="767">
        <f t="shared" si="40"/>
        <v>-2.070807656732562</v>
      </c>
      <c r="AK68" s="692">
        <f t="shared" si="46"/>
        <v>-2.8991307194255866</v>
      </c>
      <c r="AL68" s="841">
        <f t="shared" si="47"/>
        <v>425</v>
      </c>
      <c r="AM68" s="692">
        <v>16</v>
      </c>
      <c r="AN68" s="692">
        <v>20</v>
      </c>
      <c r="AO68" s="692">
        <v>19</v>
      </c>
      <c r="AP68" s="692">
        <v>21</v>
      </c>
      <c r="AQ68" s="692">
        <v>22</v>
      </c>
      <c r="AR68" s="692">
        <v>24</v>
      </c>
      <c r="AS68" s="841">
        <f t="shared" si="41"/>
        <v>425</v>
      </c>
      <c r="AT68" s="692">
        <f t="shared" si="42"/>
        <v>18.899130719425585</v>
      </c>
      <c r="AU68" s="692">
        <f t="shared" si="43"/>
        <v>22.899130719425585</v>
      </c>
      <c r="AV68" s="692">
        <f t="shared" si="44"/>
        <v>21.899130719425585</v>
      </c>
      <c r="AW68" s="692">
        <f t="shared" si="45"/>
        <v>23.899130719425585</v>
      </c>
      <c r="AX68" s="692">
        <f t="shared" si="48"/>
        <v>24.899130719425585</v>
      </c>
      <c r="AY68" s="692">
        <f t="shared" si="49"/>
        <v>26.899130719425585</v>
      </c>
    </row>
    <row r="69" spans="7:51" ht="12.75" hidden="1" thickTop="1" x14ac:dyDescent="0.2">
      <c r="G69" s="774"/>
      <c r="H69" s="774"/>
      <c r="I69" s="774"/>
      <c r="J69" s="774"/>
      <c r="K69" s="774"/>
      <c r="L69" s="774"/>
      <c r="M69" s="774"/>
      <c r="N69" s="172"/>
      <c r="O69" s="172"/>
      <c r="P69" s="172"/>
      <c r="Q69" s="172"/>
      <c r="R69" s="172"/>
      <c r="S69" s="172"/>
      <c r="T69" s="172"/>
      <c r="U69" s="172"/>
      <c r="V69" s="172"/>
      <c r="W69" s="172"/>
      <c r="X69" s="172"/>
      <c r="Y69" s="172"/>
      <c r="Z69" s="172"/>
      <c r="AA69" s="172"/>
      <c r="AB69" s="172"/>
      <c r="AC69" s="172"/>
      <c r="AD69" s="172"/>
      <c r="AE69" s="172"/>
      <c r="AF69" s="172"/>
      <c r="AG69" s="172"/>
      <c r="AH69" s="172"/>
      <c r="AI69" s="765">
        <v>475</v>
      </c>
      <c r="AJ69" s="767">
        <f t="shared" si="40"/>
        <v>-1.581414862247577</v>
      </c>
      <c r="AK69" s="692">
        <f t="shared" si="46"/>
        <v>-2.2139808071466076</v>
      </c>
      <c r="AL69" s="841">
        <f t="shared" si="47"/>
        <v>475</v>
      </c>
      <c r="AM69" s="692">
        <v>16</v>
      </c>
      <c r="AN69" s="692">
        <v>21</v>
      </c>
      <c r="AO69" s="692">
        <v>20</v>
      </c>
      <c r="AP69" s="692">
        <v>22</v>
      </c>
      <c r="AQ69" s="692">
        <v>23</v>
      </c>
      <c r="AR69" s="692">
        <v>25</v>
      </c>
      <c r="AS69" s="841">
        <f t="shared" si="41"/>
        <v>475</v>
      </c>
      <c r="AT69" s="692">
        <f t="shared" si="42"/>
        <v>18.213980807146608</v>
      </c>
      <c r="AU69" s="692">
        <f t="shared" si="43"/>
        <v>23.213980807146608</v>
      </c>
      <c r="AV69" s="692">
        <f t="shared" si="44"/>
        <v>22.213980807146608</v>
      </c>
      <c r="AW69" s="692">
        <f t="shared" si="45"/>
        <v>24.213980807146608</v>
      </c>
      <c r="AX69" s="692">
        <f t="shared" si="48"/>
        <v>25.213980807146608</v>
      </c>
      <c r="AY69" s="692">
        <f t="shared" si="49"/>
        <v>27.213980807146608</v>
      </c>
    </row>
    <row r="70" spans="7:51" ht="12.75" hidden="1" thickTop="1" x14ac:dyDescent="0.2">
      <c r="G70" s="774"/>
      <c r="H70" s="774"/>
      <c r="I70" s="774"/>
      <c r="J70" s="774"/>
      <c r="K70" s="774"/>
      <c r="L70" s="774"/>
      <c r="M70" s="774"/>
      <c r="N70" s="172"/>
      <c r="O70" s="172"/>
      <c r="P70" s="172"/>
      <c r="Q70" s="172"/>
      <c r="R70" s="172"/>
      <c r="S70" s="172"/>
      <c r="T70" s="172"/>
      <c r="U70" s="172"/>
      <c r="V70" s="172"/>
      <c r="W70" s="172"/>
      <c r="X70" s="172"/>
      <c r="Y70" s="172"/>
      <c r="Z70" s="172"/>
      <c r="AA70" s="172"/>
      <c r="AB70" s="172"/>
      <c r="AC70" s="172"/>
      <c r="AD70" s="172"/>
      <c r="AE70" s="172"/>
      <c r="AF70" s="172"/>
      <c r="AG70" s="172"/>
      <c r="AH70" s="172"/>
      <c r="AI70" s="765">
        <v>525</v>
      </c>
      <c r="AJ70" s="767">
        <f t="shared" si="40"/>
        <v>-1.1410476445968527</v>
      </c>
      <c r="AK70" s="692">
        <f t="shared" si="46"/>
        <v>-1.5974667024355937</v>
      </c>
      <c r="AL70" s="841">
        <f t="shared" si="47"/>
        <v>525</v>
      </c>
      <c r="AM70" s="692">
        <v>17</v>
      </c>
      <c r="AN70" s="692">
        <v>22</v>
      </c>
      <c r="AO70" s="692">
        <v>20</v>
      </c>
      <c r="AP70" s="692">
        <v>22</v>
      </c>
      <c r="AQ70" s="692">
        <v>24</v>
      </c>
      <c r="AR70" s="692">
        <v>26</v>
      </c>
      <c r="AS70" s="841">
        <f t="shared" si="41"/>
        <v>525</v>
      </c>
      <c r="AT70" s="692">
        <f t="shared" si="42"/>
        <v>18.597466702435593</v>
      </c>
      <c r="AU70" s="692">
        <f t="shared" si="43"/>
        <v>23.597466702435593</v>
      </c>
      <c r="AV70" s="692">
        <f t="shared" si="44"/>
        <v>21.597466702435593</v>
      </c>
      <c r="AW70" s="692">
        <f t="shared" si="45"/>
        <v>23.597466702435593</v>
      </c>
      <c r="AX70" s="692">
        <f t="shared" si="48"/>
        <v>25.597466702435593</v>
      </c>
      <c r="AY70" s="692">
        <f t="shared" si="49"/>
        <v>27.597466702435593</v>
      </c>
    </row>
    <row r="71" spans="7:51" ht="12.75" hidden="1" thickTop="1" x14ac:dyDescent="0.2">
      <c r="G71" s="774"/>
      <c r="H71" s="774"/>
      <c r="I71" s="774"/>
      <c r="J71" s="774"/>
      <c r="K71" s="774"/>
      <c r="L71" s="774"/>
      <c r="M71" s="774"/>
      <c r="N71" s="172"/>
      <c r="O71" s="172"/>
      <c r="P71" s="172"/>
      <c r="Q71" s="172"/>
      <c r="R71" s="172"/>
      <c r="S71" s="172"/>
      <c r="T71" s="172"/>
      <c r="U71" s="172"/>
      <c r="V71" s="172"/>
      <c r="W71" s="172"/>
      <c r="X71" s="172"/>
      <c r="Y71" s="172"/>
      <c r="Z71" s="172"/>
      <c r="AA71" s="172"/>
      <c r="AB71" s="172"/>
      <c r="AC71" s="172"/>
      <c r="AD71" s="172"/>
      <c r="AE71" s="172"/>
      <c r="AF71" s="172"/>
      <c r="AG71" s="172"/>
      <c r="AH71" s="172"/>
      <c r="AI71" s="765">
        <v>575</v>
      </c>
      <c r="AJ71" s="767">
        <f t="shared" si="40"/>
        <v>-0.74077182049165557</v>
      </c>
      <c r="AK71" s="692">
        <f t="shared" si="46"/>
        <v>-1.0370805486883177</v>
      </c>
      <c r="AL71" s="841">
        <f t="shared" si="47"/>
        <v>575</v>
      </c>
      <c r="AM71" s="692">
        <v>17</v>
      </c>
      <c r="AN71" s="692">
        <v>23</v>
      </c>
      <c r="AO71" s="692">
        <v>21</v>
      </c>
      <c r="AP71" s="692">
        <v>23</v>
      </c>
      <c r="AQ71" s="692">
        <v>24</v>
      </c>
      <c r="AS71" s="841">
        <f t="shared" si="41"/>
        <v>575</v>
      </c>
      <c r="AT71" s="692">
        <f t="shared" si="42"/>
        <v>18.037080548688319</v>
      </c>
      <c r="AU71" s="692">
        <f t="shared" si="43"/>
        <v>24.037080548688319</v>
      </c>
      <c r="AV71" s="692">
        <f t="shared" si="44"/>
        <v>22.037080548688319</v>
      </c>
      <c r="AW71" s="692">
        <f t="shared" si="45"/>
        <v>24.037080548688319</v>
      </c>
      <c r="AX71" s="692">
        <f t="shared" si="48"/>
        <v>25.037080548688319</v>
      </c>
    </row>
    <row r="72" spans="7:51" ht="12.75" hidden="1" thickTop="1" x14ac:dyDescent="0.2">
      <c r="G72" s="774"/>
      <c r="H72" s="774"/>
      <c r="I72" s="774"/>
      <c r="J72" s="774"/>
      <c r="K72" s="774"/>
      <c r="L72" s="774"/>
      <c r="M72" s="774"/>
      <c r="N72" s="172"/>
      <c r="O72" s="172"/>
      <c r="P72" s="172"/>
      <c r="Q72" s="172"/>
      <c r="R72" s="172"/>
      <c r="S72" s="172"/>
      <c r="T72" s="172"/>
      <c r="U72" s="172"/>
      <c r="V72" s="172"/>
      <c r="W72" s="172"/>
      <c r="X72" s="172"/>
      <c r="Y72" s="172"/>
      <c r="Z72" s="172"/>
      <c r="AA72" s="172"/>
      <c r="AB72" s="172"/>
      <c r="AC72" s="172"/>
      <c r="AD72" s="172"/>
      <c r="AE72" s="172"/>
      <c r="AF72" s="172"/>
      <c r="AG72" s="172"/>
      <c r="AH72" s="172"/>
      <c r="AI72" s="765">
        <v>625</v>
      </c>
      <c r="AJ72" s="767">
        <f t="shared" si="40"/>
        <v>-0.37389274115983184</v>
      </c>
      <c r="AK72" s="692">
        <f t="shared" si="46"/>
        <v>-0.52344983762376451</v>
      </c>
      <c r="AL72" s="841">
        <f t="shared" si="47"/>
        <v>625</v>
      </c>
      <c r="AO72" s="692">
        <v>21</v>
      </c>
      <c r="AP72" s="692">
        <v>23</v>
      </c>
      <c r="AQ72" s="692">
        <v>25</v>
      </c>
      <c r="AS72" s="841">
        <f t="shared" si="41"/>
        <v>625</v>
      </c>
      <c r="AV72" s="692">
        <f>AO72-$AK72</f>
        <v>21.523449837623765</v>
      </c>
      <c r="AW72" s="692">
        <f>AP72-$AK72</f>
        <v>23.523449837623765</v>
      </c>
      <c r="AX72" s="692">
        <f t="shared" si="48"/>
        <v>25.523449837623765</v>
      </c>
    </row>
    <row r="73" spans="7:51" ht="13.5" hidden="1" thickTop="1" thickBot="1" x14ac:dyDescent="0.25">
      <c r="G73" s="774"/>
      <c r="H73" s="774"/>
      <c r="I73" s="774"/>
      <c r="J73" s="774"/>
      <c r="K73" s="774"/>
      <c r="L73" s="774"/>
      <c r="M73" s="774"/>
      <c r="N73" s="172"/>
      <c r="O73" s="172"/>
      <c r="P73" s="172"/>
      <c r="Q73" s="172"/>
      <c r="R73" s="172"/>
      <c r="S73" s="172"/>
      <c r="T73" s="172"/>
      <c r="U73" s="172"/>
      <c r="V73" s="172"/>
      <c r="W73" s="172"/>
      <c r="X73" s="172"/>
      <c r="Y73" s="172"/>
      <c r="Z73" s="172"/>
      <c r="AA73" s="172"/>
      <c r="AB73" s="172"/>
      <c r="AC73" s="172"/>
      <c r="AD73" s="172"/>
      <c r="AE73" s="172"/>
      <c r="AF73" s="172"/>
      <c r="AG73" s="172"/>
      <c r="AH73" s="172"/>
      <c r="AI73" s="765"/>
      <c r="AJ73" s="771"/>
      <c r="AL73" s="841"/>
      <c r="AS73" s="692" t="s">
        <v>359</v>
      </c>
      <c r="AT73" s="692">
        <f t="shared" ref="AT73:AY73" si="50">AVERAGE(AT63:AT72)</f>
        <v>18.636873477332557</v>
      </c>
      <c r="AU73" s="692">
        <f t="shared" si="50"/>
        <v>22.636873477332557</v>
      </c>
      <c r="AV73" s="692">
        <f t="shared" si="50"/>
        <v>21.925531113361679</v>
      </c>
      <c r="AW73" s="692">
        <f t="shared" si="50"/>
        <v>23.825531113361677</v>
      </c>
      <c r="AX73" s="692">
        <f t="shared" si="50"/>
        <v>25.432265859220625</v>
      </c>
      <c r="AY73" s="692">
        <f t="shared" si="50"/>
        <v>27.418840137375465</v>
      </c>
    </row>
    <row r="74" spans="7:51" ht="12.75" hidden="1" thickTop="1" x14ac:dyDescent="0.2">
      <c r="G74" s="774"/>
      <c r="H74" s="774"/>
      <c r="I74" s="774"/>
      <c r="J74" s="774"/>
      <c r="K74" s="774"/>
      <c r="L74" s="774"/>
      <c r="M74" s="774"/>
      <c r="N74" s="172"/>
      <c r="O74" s="172"/>
      <c r="P74" s="172"/>
      <c r="Q74" s="172"/>
      <c r="R74" s="172"/>
      <c r="S74" s="172"/>
      <c r="T74" s="172"/>
      <c r="U74" s="172"/>
      <c r="V74" s="172"/>
      <c r="W74" s="172"/>
      <c r="X74" s="172"/>
      <c r="Y74" s="172"/>
      <c r="Z74" s="172"/>
      <c r="AA74" s="172"/>
      <c r="AB74" s="172"/>
      <c r="AC74" s="172"/>
      <c r="AD74" s="172"/>
      <c r="AE74" s="172"/>
      <c r="AF74" s="172"/>
      <c r="AG74" s="172"/>
      <c r="AH74" s="172"/>
    </row>
    <row r="75" spans="7:51" ht="12.75" hidden="1" thickTop="1" x14ac:dyDescent="0.2">
      <c r="G75" s="774"/>
      <c r="H75" s="774"/>
      <c r="I75" s="774"/>
      <c r="J75" s="774"/>
      <c r="K75" s="774"/>
      <c r="L75" s="774"/>
      <c r="M75" s="774"/>
      <c r="N75" s="172"/>
      <c r="O75" s="172"/>
      <c r="P75" s="172"/>
      <c r="Q75" s="172"/>
      <c r="R75" s="172"/>
      <c r="S75" s="172"/>
      <c r="T75" s="172"/>
      <c r="U75" s="172"/>
      <c r="V75" s="172"/>
      <c r="W75" s="172"/>
      <c r="X75" s="172"/>
      <c r="Y75" s="172"/>
      <c r="Z75" s="172"/>
      <c r="AA75" s="172"/>
      <c r="AB75" s="172"/>
      <c r="AC75" s="172"/>
      <c r="AD75" s="172"/>
      <c r="AE75" s="172"/>
      <c r="AF75" s="172"/>
      <c r="AG75" s="172"/>
      <c r="AH75" s="172"/>
    </row>
    <row r="76" spans="7:51" ht="12.75" hidden="1" thickTop="1" x14ac:dyDescent="0.2">
      <c r="G76" s="774"/>
      <c r="H76" s="774"/>
      <c r="I76" s="774"/>
      <c r="J76" s="774"/>
      <c r="K76" s="774"/>
      <c r="L76" s="774"/>
      <c r="M76" s="774"/>
      <c r="N76" s="172"/>
      <c r="O76" s="172"/>
      <c r="P76" s="172"/>
      <c r="Q76" s="172"/>
      <c r="R76" s="172"/>
      <c r="S76" s="172"/>
      <c r="T76" s="172"/>
      <c r="U76" s="172"/>
      <c r="V76" s="172"/>
      <c r="W76" s="172"/>
      <c r="X76" s="172"/>
      <c r="Y76" s="172"/>
      <c r="Z76" s="172"/>
      <c r="AA76" s="172"/>
      <c r="AB76" s="172"/>
      <c r="AC76" s="172"/>
      <c r="AD76" s="172"/>
      <c r="AE76" s="172"/>
      <c r="AF76" s="172"/>
      <c r="AG76" s="172"/>
      <c r="AH76" s="172"/>
      <c r="AI76" s="713" t="s">
        <v>43</v>
      </c>
      <c r="AJ76" s="757"/>
      <c r="AK76" s="692" t="s">
        <v>297</v>
      </c>
      <c r="AM76" s="692">
        <v>500</v>
      </c>
      <c r="AN76" s="692">
        <v>800</v>
      </c>
      <c r="AO76" s="692">
        <v>800</v>
      </c>
      <c r="AP76" s="692">
        <v>1000</v>
      </c>
      <c r="AQ76" s="692">
        <v>1200</v>
      </c>
      <c r="AR76" s="692">
        <v>1400</v>
      </c>
      <c r="AT76" s="692">
        <f t="shared" ref="AT76:AY76" si="51">AM76</f>
        <v>500</v>
      </c>
      <c r="AU76" s="692">
        <f t="shared" si="51"/>
        <v>800</v>
      </c>
      <c r="AV76" s="692">
        <f t="shared" si="51"/>
        <v>800</v>
      </c>
      <c r="AW76" s="692">
        <f t="shared" si="51"/>
        <v>1000</v>
      </c>
      <c r="AX76" s="692">
        <f t="shared" si="51"/>
        <v>1200</v>
      </c>
      <c r="AY76" s="692">
        <f t="shared" si="51"/>
        <v>1400</v>
      </c>
    </row>
    <row r="77" spans="7:51" ht="12.75" hidden="1" thickTop="1" x14ac:dyDescent="0.2">
      <c r="G77" s="774"/>
      <c r="H77" s="774"/>
      <c r="I77" s="774"/>
      <c r="J77" s="774"/>
      <c r="K77" s="774"/>
      <c r="L77" s="774"/>
      <c r="M77" s="774"/>
      <c r="N77" s="172"/>
      <c r="O77" s="172"/>
      <c r="P77" s="172"/>
      <c r="Q77" s="172"/>
      <c r="R77" s="172"/>
      <c r="S77" s="172"/>
      <c r="T77" s="172"/>
      <c r="U77" s="172"/>
      <c r="V77" s="172"/>
      <c r="W77" s="172"/>
      <c r="X77" s="172"/>
      <c r="Y77" s="172"/>
      <c r="Z77" s="172"/>
      <c r="AA77" s="172"/>
      <c r="AB77" s="172"/>
      <c r="AC77" s="172"/>
      <c r="AD77" s="172"/>
      <c r="AE77" s="172"/>
      <c r="AF77" s="172"/>
      <c r="AG77" s="172"/>
      <c r="AH77" s="172"/>
      <c r="AI77" s="765">
        <v>175</v>
      </c>
      <c r="AJ77" s="769">
        <f t="shared" ref="AJ77:AJ86" si="52">IF(Mast_Rasse=3,4.4*LN(AI77)+$V$24*1.06-28.7,0.173+0.01372*AI77+1.47*Mast_LMZ/1000)*$U$5</f>
        <v>-5.9749417147365342</v>
      </c>
      <c r="AK77" s="692">
        <f>AJ77*1</f>
        <v>-5.9749417147365342</v>
      </c>
      <c r="AL77" s="841">
        <f>AI77</f>
        <v>175</v>
      </c>
      <c r="AM77" s="692">
        <v>4</v>
      </c>
      <c r="AN77" s="692">
        <v>5</v>
      </c>
      <c r="AO77" s="692">
        <v>6</v>
      </c>
      <c r="AP77" s="692">
        <v>6</v>
      </c>
      <c r="AS77" s="841">
        <f t="shared" ref="AS77:AS86" si="53">AI77</f>
        <v>175</v>
      </c>
      <c r="AT77" s="692">
        <f t="shared" ref="AT77:AT85" si="54">AM77-$AK77</f>
        <v>9.9749417147365342</v>
      </c>
      <c r="AU77" s="692">
        <f t="shared" ref="AU77:AU85" si="55">AN77-$AK77</f>
        <v>10.974941714736534</v>
      </c>
      <c r="AV77" s="692">
        <f t="shared" ref="AV77:AV85" si="56">AO77-$AK77</f>
        <v>11.974941714736534</v>
      </c>
      <c r="AW77" s="692">
        <f t="shared" ref="AW77:AW85" si="57">AP77-$AK77</f>
        <v>11.974941714736534</v>
      </c>
    </row>
    <row r="78" spans="7:51" ht="12.75" hidden="1" thickTop="1" x14ac:dyDescent="0.2">
      <c r="G78" s="774"/>
      <c r="H78" s="774"/>
      <c r="I78" s="774"/>
      <c r="J78" s="774"/>
      <c r="K78" s="774"/>
      <c r="L78" s="774"/>
      <c r="M78" s="774"/>
      <c r="N78" s="172"/>
      <c r="O78" s="172"/>
      <c r="P78" s="172"/>
      <c r="Q78" s="172"/>
      <c r="R78" s="172"/>
      <c r="S78" s="172"/>
      <c r="T78" s="172"/>
      <c r="U78" s="172"/>
      <c r="V78" s="172"/>
      <c r="W78" s="172"/>
      <c r="X78" s="172"/>
      <c r="Y78" s="172"/>
      <c r="Z78" s="172"/>
      <c r="AA78" s="172"/>
      <c r="AB78" s="172"/>
      <c r="AC78" s="172"/>
      <c r="AD78" s="172"/>
      <c r="AE78" s="172"/>
      <c r="AF78" s="172"/>
      <c r="AG78" s="172"/>
      <c r="AH78" s="172"/>
      <c r="AI78" s="765">
        <v>225</v>
      </c>
      <c r="AJ78" s="767">
        <f t="shared" si="52"/>
        <v>-4.869158230300549</v>
      </c>
      <c r="AK78" s="692">
        <f t="shared" ref="AK78:AK86" si="58">AJ78*1</f>
        <v>-4.869158230300549</v>
      </c>
      <c r="AL78" s="841">
        <f t="shared" ref="AL78:AL86" si="59">AI78</f>
        <v>225</v>
      </c>
      <c r="AM78" s="692">
        <v>5</v>
      </c>
      <c r="AN78" s="692">
        <v>6</v>
      </c>
      <c r="AO78" s="692">
        <v>6</v>
      </c>
      <c r="AP78" s="692">
        <v>7</v>
      </c>
      <c r="AQ78" s="692">
        <v>7</v>
      </c>
      <c r="AS78" s="841">
        <f t="shared" si="53"/>
        <v>225</v>
      </c>
      <c r="AT78" s="692">
        <f t="shared" si="54"/>
        <v>9.869158230300549</v>
      </c>
      <c r="AU78" s="692">
        <f t="shared" si="55"/>
        <v>10.869158230300549</v>
      </c>
      <c r="AV78" s="692">
        <f t="shared" si="56"/>
        <v>10.869158230300549</v>
      </c>
      <c r="AW78" s="692">
        <f t="shared" si="57"/>
        <v>11.869158230300549</v>
      </c>
      <c r="AX78" s="692">
        <f t="shared" ref="AX78:AX86" si="60">AQ78-$AK78</f>
        <v>11.869158230300549</v>
      </c>
    </row>
    <row r="79" spans="7:51" ht="12.75" hidden="1" thickTop="1" x14ac:dyDescent="0.2">
      <c r="G79" s="774"/>
      <c r="H79" s="774"/>
      <c r="I79" s="774"/>
      <c r="J79" s="774"/>
      <c r="K79" s="774"/>
      <c r="L79" s="774"/>
      <c r="M79" s="774"/>
      <c r="N79" s="172"/>
      <c r="O79" s="172"/>
      <c r="P79" s="172"/>
      <c r="Q79" s="172"/>
      <c r="R79" s="172"/>
      <c r="S79" s="172"/>
      <c r="T79" s="172"/>
      <c r="U79" s="172"/>
      <c r="V79" s="172"/>
      <c r="W79" s="172"/>
      <c r="X79" s="172"/>
      <c r="Y79" s="172"/>
      <c r="Z79" s="172"/>
      <c r="AA79" s="172"/>
      <c r="AB79" s="172"/>
      <c r="AC79" s="172"/>
      <c r="AD79" s="172"/>
      <c r="AE79" s="172"/>
      <c r="AF79" s="172"/>
      <c r="AG79" s="172"/>
      <c r="AH79" s="172"/>
      <c r="AI79" s="765">
        <v>275</v>
      </c>
      <c r="AJ79" s="767">
        <f t="shared" si="52"/>
        <v>-3.9862071702670825</v>
      </c>
      <c r="AK79" s="692">
        <f t="shared" si="58"/>
        <v>-3.9862071702670825</v>
      </c>
      <c r="AL79" s="841">
        <f t="shared" si="59"/>
        <v>275</v>
      </c>
      <c r="AM79" s="692">
        <v>6</v>
      </c>
      <c r="AN79" s="692">
        <v>7</v>
      </c>
      <c r="AO79" s="692">
        <v>7</v>
      </c>
      <c r="AP79" s="692">
        <v>8</v>
      </c>
      <c r="AQ79" s="692">
        <v>8</v>
      </c>
      <c r="AR79" s="692">
        <v>8</v>
      </c>
      <c r="AS79" s="841">
        <f t="shared" si="53"/>
        <v>275</v>
      </c>
      <c r="AT79" s="692">
        <f t="shared" si="54"/>
        <v>9.9862071702670825</v>
      </c>
      <c r="AU79" s="692">
        <f t="shared" si="55"/>
        <v>10.986207170267082</v>
      </c>
      <c r="AV79" s="692">
        <f t="shared" si="56"/>
        <v>10.986207170267082</v>
      </c>
      <c r="AW79" s="692">
        <f t="shared" si="57"/>
        <v>11.986207170267082</v>
      </c>
      <c r="AX79" s="692">
        <f t="shared" si="60"/>
        <v>11.986207170267082</v>
      </c>
      <c r="AY79" s="692">
        <f t="shared" ref="AY79:AY84" si="61">AR79-$AK79</f>
        <v>11.986207170267082</v>
      </c>
    </row>
    <row r="80" spans="7:51" ht="12.75" hidden="1" thickTop="1" x14ac:dyDescent="0.2">
      <c r="G80" s="774"/>
      <c r="H80" s="774"/>
      <c r="I80" s="774"/>
      <c r="J80" s="774"/>
      <c r="K80" s="774"/>
      <c r="L80" s="774"/>
      <c r="M80" s="774"/>
      <c r="N80" s="172"/>
      <c r="O80" s="172"/>
      <c r="P80" s="172"/>
      <c r="Q80" s="172"/>
      <c r="R80" s="172"/>
      <c r="S80" s="172"/>
      <c r="T80" s="172"/>
      <c r="U80" s="172"/>
      <c r="V80" s="172"/>
      <c r="W80" s="172"/>
      <c r="X80" s="172"/>
      <c r="Y80" s="172"/>
      <c r="Z80" s="172"/>
      <c r="AA80" s="172"/>
      <c r="AB80" s="172"/>
      <c r="AC80" s="172"/>
      <c r="AD80" s="172"/>
      <c r="AE80" s="172"/>
      <c r="AF80" s="172"/>
      <c r="AG80" s="172"/>
      <c r="AH80" s="172"/>
      <c r="AI80" s="765">
        <v>325</v>
      </c>
      <c r="AJ80" s="767">
        <f t="shared" si="52"/>
        <v>-3.251169197749153</v>
      </c>
      <c r="AK80" s="692">
        <f t="shared" si="58"/>
        <v>-3.251169197749153</v>
      </c>
      <c r="AL80" s="841">
        <f t="shared" si="59"/>
        <v>325</v>
      </c>
      <c r="AM80" s="692">
        <v>7</v>
      </c>
      <c r="AN80" s="692">
        <v>8</v>
      </c>
      <c r="AO80" s="692">
        <v>8</v>
      </c>
      <c r="AP80" s="692">
        <v>8</v>
      </c>
      <c r="AQ80" s="692">
        <v>9</v>
      </c>
      <c r="AR80" s="692">
        <v>9</v>
      </c>
      <c r="AS80" s="841">
        <f t="shared" si="53"/>
        <v>325</v>
      </c>
      <c r="AT80" s="692">
        <f t="shared" si="54"/>
        <v>10.251169197749153</v>
      </c>
      <c r="AU80" s="692">
        <f t="shared" si="55"/>
        <v>11.251169197749153</v>
      </c>
      <c r="AV80" s="692">
        <f t="shared" si="56"/>
        <v>11.251169197749153</v>
      </c>
      <c r="AW80" s="692">
        <f t="shared" si="57"/>
        <v>11.251169197749153</v>
      </c>
      <c r="AX80" s="692">
        <f t="shared" si="60"/>
        <v>12.251169197749153</v>
      </c>
      <c r="AY80" s="692">
        <f t="shared" si="61"/>
        <v>12.251169197749153</v>
      </c>
    </row>
    <row r="81" spans="7:51" ht="12.75" hidden="1" thickTop="1" x14ac:dyDescent="0.2">
      <c r="G81" s="774"/>
      <c r="H81" s="774"/>
      <c r="I81" s="774"/>
      <c r="J81" s="774"/>
      <c r="K81" s="774"/>
      <c r="L81" s="774"/>
      <c r="M81" s="774"/>
      <c r="N81" s="172"/>
      <c r="O81" s="172"/>
      <c r="P81" s="172"/>
      <c r="Q81" s="172"/>
      <c r="R81" s="172"/>
      <c r="S81" s="172"/>
      <c r="T81" s="172"/>
      <c r="U81" s="172"/>
      <c r="V81" s="172"/>
      <c r="W81" s="172"/>
      <c r="X81" s="172"/>
      <c r="Y81" s="172"/>
      <c r="Z81" s="172"/>
      <c r="AA81" s="172"/>
      <c r="AB81" s="172"/>
      <c r="AC81" s="172"/>
      <c r="AD81" s="172"/>
      <c r="AE81" s="172"/>
      <c r="AF81" s="172"/>
      <c r="AG81" s="172"/>
      <c r="AH81" s="172"/>
      <c r="AI81" s="765">
        <v>375</v>
      </c>
      <c r="AJ81" s="767">
        <f t="shared" si="52"/>
        <v>-2.6215254857301922</v>
      </c>
      <c r="AK81" s="692">
        <f t="shared" si="58"/>
        <v>-2.6215254857301922</v>
      </c>
      <c r="AL81" s="841">
        <f t="shared" si="59"/>
        <v>375</v>
      </c>
      <c r="AM81" s="692">
        <v>8</v>
      </c>
      <c r="AN81" s="692">
        <v>8</v>
      </c>
      <c r="AO81" s="692">
        <v>8</v>
      </c>
      <c r="AP81" s="692">
        <v>9</v>
      </c>
      <c r="AQ81" s="692">
        <v>9</v>
      </c>
      <c r="AR81" s="692">
        <v>10</v>
      </c>
      <c r="AS81" s="841">
        <f t="shared" si="53"/>
        <v>375</v>
      </c>
      <c r="AT81" s="692">
        <f t="shared" si="54"/>
        <v>10.621525485730192</v>
      </c>
      <c r="AU81" s="692">
        <f t="shared" si="55"/>
        <v>10.621525485730192</v>
      </c>
      <c r="AV81" s="692">
        <f t="shared" si="56"/>
        <v>10.621525485730192</v>
      </c>
      <c r="AW81" s="692">
        <f t="shared" si="57"/>
        <v>11.621525485730192</v>
      </c>
      <c r="AX81" s="692">
        <f t="shared" si="60"/>
        <v>11.621525485730192</v>
      </c>
      <c r="AY81" s="692">
        <f t="shared" si="61"/>
        <v>12.621525485730192</v>
      </c>
    </row>
    <row r="82" spans="7:51" ht="12.75" hidden="1" thickTop="1" x14ac:dyDescent="0.2">
      <c r="G82" s="774"/>
      <c r="H82" s="774"/>
      <c r="I82" s="774"/>
      <c r="J82" s="774"/>
      <c r="K82" s="774"/>
      <c r="L82" s="774"/>
      <c r="M82" s="774"/>
      <c r="N82" s="172"/>
      <c r="O82" s="172"/>
      <c r="P82" s="172"/>
      <c r="Q82" s="172"/>
      <c r="R82" s="172"/>
      <c r="S82" s="172"/>
      <c r="T82" s="172"/>
      <c r="U82" s="172"/>
      <c r="V82" s="172"/>
      <c r="W82" s="172"/>
      <c r="X82" s="172"/>
      <c r="Y82" s="172"/>
      <c r="Z82" s="172"/>
      <c r="AA82" s="172"/>
      <c r="AB82" s="172"/>
      <c r="AC82" s="172"/>
      <c r="AD82" s="172"/>
      <c r="AE82" s="172"/>
      <c r="AF82" s="172"/>
      <c r="AG82" s="172"/>
      <c r="AH82" s="172"/>
      <c r="AI82" s="765">
        <v>425</v>
      </c>
      <c r="AJ82" s="767">
        <f t="shared" si="52"/>
        <v>-2.070807656732562</v>
      </c>
      <c r="AK82" s="692">
        <f t="shared" si="58"/>
        <v>-2.070807656732562</v>
      </c>
      <c r="AL82" s="841">
        <f t="shared" si="59"/>
        <v>425</v>
      </c>
      <c r="AM82" s="692">
        <v>8</v>
      </c>
      <c r="AN82" s="692">
        <v>9</v>
      </c>
      <c r="AO82" s="692">
        <v>9</v>
      </c>
      <c r="AP82" s="692">
        <v>9</v>
      </c>
      <c r="AQ82" s="692">
        <v>10</v>
      </c>
      <c r="AR82" s="692">
        <v>10</v>
      </c>
      <c r="AS82" s="841">
        <f t="shared" si="53"/>
        <v>425</v>
      </c>
      <c r="AT82" s="692">
        <f t="shared" si="54"/>
        <v>10.070807656732562</v>
      </c>
      <c r="AU82" s="692">
        <f t="shared" si="55"/>
        <v>11.070807656732562</v>
      </c>
      <c r="AV82" s="692">
        <f t="shared" si="56"/>
        <v>11.070807656732562</v>
      </c>
      <c r="AW82" s="692">
        <f t="shared" si="57"/>
        <v>11.070807656732562</v>
      </c>
      <c r="AX82" s="692">
        <f t="shared" si="60"/>
        <v>12.070807656732562</v>
      </c>
      <c r="AY82" s="692">
        <f t="shared" si="61"/>
        <v>12.070807656732562</v>
      </c>
    </row>
    <row r="83" spans="7:51" ht="12.75" hidden="1" thickTop="1" x14ac:dyDescent="0.2">
      <c r="G83" s="774"/>
      <c r="H83" s="774"/>
      <c r="I83" s="774"/>
      <c r="J83" s="774"/>
      <c r="K83" s="774"/>
      <c r="L83" s="774"/>
      <c r="M83" s="774"/>
      <c r="N83" s="172"/>
      <c r="O83" s="172"/>
      <c r="P83" s="172"/>
      <c r="Q83" s="172"/>
      <c r="R83" s="172"/>
      <c r="S83" s="172"/>
      <c r="T83" s="172"/>
      <c r="U83" s="172"/>
      <c r="V83" s="172"/>
      <c r="W83" s="172"/>
      <c r="X83" s="172"/>
      <c r="Y83" s="172"/>
      <c r="Z83" s="172"/>
      <c r="AA83" s="172"/>
      <c r="AB83" s="172"/>
      <c r="AC83" s="172"/>
      <c r="AD83" s="172"/>
      <c r="AE83" s="172"/>
      <c r="AF83" s="172"/>
      <c r="AG83" s="172"/>
      <c r="AH83" s="172"/>
      <c r="AI83" s="765">
        <v>475</v>
      </c>
      <c r="AJ83" s="767">
        <f t="shared" si="52"/>
        <v>-1.581414862247577</v>
      </c>
      <c r="AK83" s="692">
        <f t="shared" si="58"/>
        <v>-1.581414862247577</v>
      </c>
      <c r="AL83" s="841">
        <f t="shared" si="59"/>
        <v>475</v>
      </c>
      <c r="AM83" s="692">
        <v>9</v>
      </c>
      <c r="AN83" s="692">
        <v>10</v>
      </c>
      <c r="AO83" s="692">
        <v>9</v>
      </c>
      <c r="AP83" s="692">
        <v>10</v>
      </c>
      <c r="AQ83" s="692">
        <v>10</v>
      </c>
      <c r="AR83" s="692">
        <v>11</v>
      </c>
      <c r="AS83" s="841">
        <f t="shared" si="53"/>
        <v>475</v>
      </c>
      <c r="AT83" s="692">
        <f t="shared" si="54"/>
        <v>10.581414862247577</v>
      </c>
      <c r="AU83" s="692">
        <f t="shared" si="55"/>
        <v>11.581414862247577</v>
      </c>
      <c r="AV83" s="692">
        <f t="shared" si="56"/>
        <v>10.581414862247577</v>
      </c>
      <c r="AW83" s="692">
        <f t="shared" si="57"/>
        <v>11.581414862247577</v>
      </c>
      <c r="AX83" s="692">
        <f t="shared" si="60"/>
        <v>11.581414862247577</v>
      </c>
      <c r="AY83" s="692">
        <f t="shared" si="61"/>
        <v>12.581414862247577</v>
      </c>
    </row>
    <row r="84" spans="7:51" ht="12.75" hidden="1" thickTop="1" x14ac:dyDescent="0.2">
      <c r="G84" s="774"/>
      <c r="H84" s="774"/>
      <c r="I84" s="774"/>
      <c r="J84" s="774"/>
      <c r="K84" s="774"/>
      <c r="L84" s="774"/>
      <c r="M84" s="774"/>
      <c r="N84" s="172"/>
      <c r="O84" s="172"/>
      <c r="P84" s="172"/>
      <c r="Q84" s="172"/>
      <c r="R84" s="172"/>
      <c r="S84" s="172"/>
      <c r="T84" s="172"/>
      <c r="U84" s="172"/>
      <c r="V84" s="172"/>
      <c r="W84" s="172"/>
      <c r="X84" s="172"/>
      <c r="Y84" s="172"/>
      <c r="Z84" s="172"/>
      <c r="AA84" s="172"/>
      <c r="AB84" s="172"/>
      <c r="AC84" s="172"/>
      <c r="AD84" s="172"/>
      <c r="AE84" s="172"/>
      <c r="AF84" s="172"/>
      <c r="AG84" s="172"/>
      <c r="AH84" s="172"/>
      <c r="AI84" s="765">
        <v>525</v>
      </c>
      <c r="AJ84" s="767">
        <f t="shared" si="52"/>
        <v>-1.1410476445968527</v>
      </c>
      <c r="AK84" s="692">
        <f t="shared" si="58"/>
        <v>-1.1410476445968527</v>
      </c>
      <c r="AL84" s="841">
        <f t="shared" si="59"/>
        <v>525</v>
      </c>
      <c r="AM84" s="692">
        <v>9</v>
      </c>
      <c r="AN84" s="692">
        <v>11</v>
      </c>
      <c r="AO84" s="692">
        <v>10</v>
      </c>
      <c r="AP84" s="692">
        <v>10</v>
      </c>
      <c r="AQ84" s="692">
        <v>11</v>
      </c>
      <c r="AR84" s="692">
        <v>11</v>
      </c>
      <c r="AS84" s="841">
        <f t="shared" si="53"/>
        <v>525</v>
      </c>
      <c r="AT84" s="692">
        <f t="shared" si="54"/>
        <v>10.141047644596853</v>
      </c>
      <c r="AU84" s="692">
        <f t="shared" si="55"/>
        <v>12.141047644596853</v>
      </c>
      <c r="AV84" s="692">
        <f t="shared" si="56"/>
        <v>11.141047644596853</v>
      </c>
      <c r="AW84" s="692">
        <f t="shared" si="57"/>
        <v>11.141047644596853</v>
      </c>
      <c r="AX84" s="692">
        <f t="shared" si="60"/>
        <v>12.141047644596853</v>
      </c>
      <c r="AY84" s="692">
        <f t="shared" si="61"/>
        <v>12.141047644596853</v>
      </c>
    </row>
    <row r="85" spans="7:51" ht="12.75" hidden="1" thickTop="1" x14ac:dyDescent="0.2">
      <c r="G85" s="774"/>
      <c r="H85" s="774"/>
      <c r="I85" s="774"/>
      <c r="J85" s="774"/>
      <c r="K85" s="774"/>
      <c r="L85" s="774"/>
      <c r="M85" s="774"/>
      <c r="N85" s="172"/>
      <c r="O85" s="172"/>
      <c r="P85" s="172"/>
      <c r="Q85" s="172"/>
      <c r="R85" s="172"/>
      <c r="S85" s="172"/>
      <c r="T85" s="172"/>
      <c r="U85" s="172"/>
      <c r="V85" s="172"/>
      <c r="W85" s="172"/>
      <c r="X85" s="172"/>
      <c r="Y85" s="172"/>
      <c r="Z85" s="172"/>
      <c r="AA85" s="172"/>
      <c r="AB85" s="172"/>
      <c r="AC85" s="172"/>
      <c r="AD85" s="172"/>
      <c r="AE85" s="172"/>
      <c r="AF85" s="172"/>
      <c r="AG85" s="172"/>
      <c r="AH85" s="172"/>
      <c r="AI85" s="765">
        <v>575</v>
      </c>
      <c r="AJ85" s="767">
        <f t="shared" si="52"/>
        <v>-0.74077182049165557</v>
      </c>
      <c r="AK85" s="692">
        <f t="shared" si="58"/>
        <v>-0.74077182049165557</v>
      </c>
      <c r="AL85" s="841">
        <f t="shared" si="59"/>
        <v>575</v>
      </c>
      <c r="AM85" s="692">
        <v>9</v>
      </c>
      <c r="AN85" s="692">
        <v>12</v>
      </c>
      <c r="AO85" s="692">
        <v>10</v>
      </c>
      <c r="AP85" s="692">
        <v>11</v>
      </c>
      <c r="AQ85" s="692">
        <v>11</v>
      </c>
      <c r="AS85" s="841">
        <f t="shared" si="53"/>
        <v>575</v>
      </c>
      <c r="AT85" s="692">
        <f t="shared" si="54"/>
        <v>9.7407718204916556</v>
      </c>
      <c r="AU85" s="692">
        <f t="shared" si="55"/>
        <v>12.740771820491656</v>
      </c>
      <c r="AV85" s="692">
        <f t="shared" si="56"/>
        <v>10.740771820491656</v>
      </c>
      <c r="AW85" s="692">
        <f t="shared" si="57"/>
        <v>11.740771820491656</v>
      </c>
      <c r="AX85" s="692">
        <f t="shared" si="60"/>
        <v>11.740771820491656</v>
      </c>
    </row>
    <row r="86" spans="7:51" ht="12.75" hidden="1" thickTop="1" x14ac:dyDescent="0.2">
      <c r="G86" s="774"/>
      <c r="H86" s="774"/>
      <c r="I86" s="774"/>
      <c r="J86" s="774"/>
      <c r="K86" s="774"/>
      <c r="L86" s="774"/>
      <c r="M86" s="774"/>
      <c r="N86" s="172"/>
      <c r="O86" s="172"/>
      <c r="P86" s="172"/>
      <c r="Q86" s="172"/>
      <c r="R86" s="172"/>
      <c r="S86" s="172"/>
      <c r="T86" s="172"/>
      <c r="U86" s="172"/>
      <c r="V86" s="172"/>
      <c r="W86" s="172"/>
      <c r="X86" s="172"/>
      <c r="Y86" s="172"/>
      <c r="Z86" s="172"/>
      <c r="AA86" s="172"/>
      <c r="AB86" s="172"/>
      <c r="AC86" s="172"/>
      <c r="AD86" s="172"/>
      <c r="AE86" s="172"/>
      <c r="AF86" s="172"/>
      <c r="AG86" s="172"/>
      <c r="AH86" s="172"/>
      <c r="AI86" s="765">
        <v>625</v>
      </c>
      <c r="AJ86" s="767">
        <f t="shared" si="52"/>
        <v>-0.37389274115983184</v>
      </c>
      <c r="AK86" s="692">
        <f t="shared" si="58"/>
        <v>-0.37389274115983184</v>
      </c>
      <c r="AL86" s="841">
        <f t="shared" si="59"/>
        <v>625</v>
      </c>
      <c r="AO86" s="692">
        <v>11</v>
      </c>
      <c r="AP86" s="692">
        <v>11</v>
      </c>
      <c r="AQ86" s="692">
        <v>11</v>
      </c>
      <c r="AS86" s="841">
        <f t="shared" si="53"/>
        <v>625</v>
      </c>
      <c r="AV86" s="692">
        <f>AO86-$AK86</f>
        <v>11.373892741159832</v>
      </c>
      <c r="AW86" s="692">
        <f>AP86-$AK86</f>
        <v>11.373892741159832</v>
      </c>
      <c r="AX86" s="692">
        <f t="shared" si="60"/>
        <v>11.373892741159832</v>
      </c>
    </row>
    <row r="87" spans="7:51" ht="13.5" hidden="1" thickTop="1" thickBot="1" x14ac:dyDescent="0.25">
      <c r="G87" s="774"/>
      <c r="H87" s="774"/>
      <c r="I87" s="774"/>
      <c r="J87" s="774"/>
      <c r="K87" s="774"/>
      <c r="L87" s="774"/>
      <c r="M87" s="774"/>
      <c r="N87" s="172"/>
      <c r="O87" s="172"/>
      <c r="P87" s="172"/>
      <c r="Q87" s="172"/>
      <c r="R87" s="172"/>
      <c r="S87" s="172"/>
      <c r="T87" s="172"/>
      <c r="U87" s="172"/>
      <c r="V87" s="172"/>
      <c r="W87" s="172"/>
      <c r="X87" s="172"/>
      <c r="Y87" s="172"/>
      <c r="Z87" s="172"/>
      <c r="AA87" s="172"/>
      <c r="AB87" s="172"/>
      <c r="AC87" s="172"/>
      <c r="AD87" s="172"/>
      <c r="AE87" s="172"/>
      <c r="AF87" s="172"/>
      <c r="AG87" s="172"/>
      <c r="AH87" s="172"/>
      <c r="AI87" s="765"/>
      <c r="AJ87" s="771"/>
      <c r="AL87" s="841"/>
      <c r="AS87" s="692" t="s">
        <v>360</v>
      </c>
      <c r="AT87" s="692">
        <f t="shared" ref="AT87:AY87" si="62">AVERAGE(AT77:AT86)</f>
        <v>10.137449309205795</v>
      </c>
      <c r="AU87" s="692">
        <f t="shared" si="62"/>
        <v>11.359671531428019</v>
      </c>
      <c r="AV87" s="692">
        <f t="shared" si="62"/>
        <v>11.061093652401201</v>
      </c>
      <c r="AW87" s="692">
        <f t="shared" si="62"/>
        <v>11.561093652401201</v>
      </c>
      <c r="AX87" s="692">
        <f t="shared" si="62"/>
        <v>11.848443867697274</v>
      </c>
      <c r="AY87" s="692">
        <f t="shared" si="62"/>
        <v>12.275362002887237</v>
      </c>
    </row>
    <row r="88" spans="7:51" ht="12.75" hidden="1" thickTop="1" x14ac:dyDescent="0.2">
      <c r="G88" s="774"/>
      <c r="H88" s="774"/>
      <c r="I88" s="774"/>
      <c r="J88" s="774"/>
      <c r="K88" s="774"/>
      <c r="L88" s="774"/>
      <c r="M88" s="774"/>
      <c r="N88" s="172"/>
      <c r="O88" s="172"/>
      <c r="P88" s="172"/>
      <c r="Q88" s="172"/>
      <c r="R88" s="172"/>
      <c r="S88" s="172"/>
      <c r="T88" s="172"/>
      <c r="U88" s="172"/>
      <c r="V88" s="172"/>
      <c r="W88" s="172"/>
      <c r="X88" s="172"/>
      <c r="Y88" s="172"/>
      <c r="Z88" s="172"/>
      <c r="AA88" s="172"/>
      <c r="AB88" s="172"/>
      <c r="AC88" s="172"/>
      <c r="AD88" s="172"/>
      <c r="AE88" s="172"/>
      <c r="AF88" s="172"/>
      <c r="AG88" s="172"/>
      <c r="AH88" s="172"/>
    </row>
    <row r="89" spans="7:51" ht="12.75" hidden="1" thickTop="1" x14ac:dyDescent="0.2">
      <c r="G89" s="774"/>
      <c r="H89" s="774"/>
      <c r="I89" s="774"/>
      <c r="J89" s="774"/>
      <c r="K89" s="774"/>
      <c r="L89" s="774"/>
      <c r="M89" s="774"/>
      <c r="N89" s="172"/>
      <c r="O89" s="172"/>
      <c r="P89" s="172"/>
      <c r="Q89" s="172"/>
      <c r="R89" s="172"/>
      <c r="S89" s="172"/>
      <c r="T89" s="172"/>
      <c r="U89" s="172"/>
      <c r="V89" s="172"/>
      <c r="W89" s="172"/>
      <c r="X89" s="172"/>
      <c r="Y89" s="172"/>
      <c r="Z89" s="172"/>
      <c r="AA89" s="172"/>
      <c r="AB89" s="172"/>
      <c r="AC89" s="172"/>
      <c r="AD89" s="172"/>
      <c r="AE89" s="172"/>
      <c r="AF89" s="172"/>
      <c r="AG89" s="172"/>
      <c r="AH89" s="172"/>
      <c r="AI89" s="713" t="s">
        <v>42</v>
      </c>
      <c r="AJ89" s="757"/>
      <c r="AK89" s="692" t="s">
        <v>297</v>
      </c>
      <c r="AM89" s="692">
        <v>500</v>
      </c>
      <c r="AN89" s="692">
        <v>800</v>
      </c>
      <c r="AO89" s="692">
        <v>800</v>
      </c>
      <c r="AP89" s="692">
        <v>1000</v>
      </c>
      <c r="AQ89" s="692">
        <v>1200</v>
      </c>
      <c r="AR89" s="692">
        <v>1400</v>
      </c>
      <c r="AT89" s="692">
        <f t="shared" ref="AT89:AY89" si="63">AM89</f>
        <v>500</v>
      </c>
      <c r="AU89" s="692">
        <f t="shared" si="63"/>
        <v>800</v>
      </c>
      <c r="AV89" s="692">
        <f t="shared" si="63"/>
        <v>800</v>
      </c>
      <c r="AW89" s="692">
        <f t="shared" si="63"/>
        <v>1000</v>
      </c>
      <c r="AX89" s="692">
        <f t="shared" si="63"/>
        <v>1200</v>
      </c>
      <c r="AY89" s="692">
        <f t="shared" si="63"/>
        <v>1400</v>
      </c>
    </row>
    <row r="90" spans="7:51" ht="12.75" hidden="1" thickTop="1" x14ac:dyDescent="0.2">
      <c r="G90" s="774"/>
      <c r="H90" s="774"/>
      <c r="I90" s="774"/>
      <c r="J90" s="774"/>
      <c r="K90" s="774"/>
      <c r="L90" s="774"/>
      <c r="M90" s="774"/>
      <c r="N90" s="172"/>
      <c r="O90" s="172"/>
      <c r="P90" s="172"/>
      <c r="Q90" s="172"/>
      <c r="R90" s="172"/>
      <c r="S90" s="172"/>
      <c r="T90" s="172"/>
      <c r="U90" s="172"/>
      <c r="V90" s="172"/>
      <c r="W90" s="172"/>
      <c r="X90" s="172"/>
      <c r="Y90" s="172"/>
      <c r="Z90" s="172"/>
      <c r="AA90" s="172"/>
      <c r="AB90" s="172"/>
      <c r="AC90" s="172"/>
      <c r="AD90" s="172"/>
      <c r="AE90" s="172"/>
      <c r="AF90" s="172"/>
      <c r="AG90" s="172"/>
      <c r="AH90" s="172"/>
      <c r="AI90" s="765">
        <v>175</v>
      </c>
      <c r="AJ90" s="769">
        <f t="shared" ref="AJ90:AJ99" si="64">IF(Mast_Rasse=3,4.4*LN(AI90)+$V$24*1.06-28.7,0.173+0.01372*AI90+1.47*Mast_LMZ/1000)*$U$5</f>
        <v>-5.9749417147365342</v>
      </c>
      <c r="AK90" s="692">
        <f>AJ90*0.7</f>
        <v>-4.1824592003155736</v>
      </c>
      <c r="AL90" s="841">
        <f>AI90</f>
        <v>175</v>
      </c>
      <c r="AM90" s="692">
        <v>3</v>
      </c>
      <c r="AN90" s="692">
        <v>4</v>
      </c>
      <c r="AO90" s="692">
        <v>4</v>
      </c>
      <c r="AP90" s="692">
        <v>4</v>
      </c>
      <c r="AS90" s="841">
        <f t="shared" ref="AS90:AS99" si="65">AI90</f>
        <v>175</v>
      </c>
      <c r="AT90" s="692">
        <f t="shared" ref="AT90:AT98" si="66">AM90-$AK90</f>
        <v>7.1824592003155736</v>
      </c>
      <c r="AU90" s="692">
        <f t="shared" ref="AU90:AU98" si="67">AN90-$AK90</f>
        <v>8.1824592003155736</v>
      </c>
      <c r="AV90" s="692">
        <f t="shared" ref="AV90:AV98" si="68">AO90-$AK90</f>
        <v>8.1824592003155736</v>
      </c>
      <c r="AW90" s="692">
        <f t="shared" ref="AW90:AW98" si="69">AP90-$AK90</f>
        <v>8.1824592003155736</v>
      </c>
    </row>
    <row r="91" spans="7:51" ht="12.75" hidden="1" thickTop="1" x14ac:dyDescent="0.2">
      <c r="G91" s="774"/>
      <c r="H91" s="774"/>
      <c r="I91" s="774"/>
      <c r="J91" s="774"/>
      <c r="K91" s="774"/>
      <c r="L91" s="774"/>
      <c r="M91" s="774"/>
      <c r="N91" s="172"/>
      <c r="O91" s="172"/>
      <c r="P91" s="172"/>
      <c r="Q91" s="172"/>
      <c r="R91" s="172"/>
      <c r="S91" s="172"/>
      <c r="T91" s="172"/>
      <c r="U91" s="172"/>
      <c r="V91" s="172"/>
      <c r="W91" s="172"/>
      <c r="X91" s="172"/>
      <c r="Y91" s="172"/>
      <c r="Z91" s="172"/>
      <c r="AA91" s="172"/>
      <c r="AB91" s="172"/>
      <c r="AC91" s="172"/>
      <c r="AD91" s="172"/>
      <c r="AE91" s="172"/>
      <c r="AF91" s="172"/>
      <c r="AG91" s="172"/>
      <c r="AH91" s="172"/>
      <c r="AI91" s="765">
        <v>225</v>
      </c>
      <c r="AJ91" s="767">
        <f t="shared" si="64"/>
        <v>-4.869158230300549</v>
      </c>
      <c r="AK91" s="692">
        <f t="shared" ref="AK91:AK99" si="70">AJ91*0.7</f>
        <v>-3.408410761210384</v>
      </c>
      <c r="AL91" s="841">
        <f t="shared" ref="AL91:AL99" si="71">AI91</f>
        <v>225</v>
      </c>
      <c r="AM91" s="692">
        <v>4</v>
      </c>
      <c r="AN91" s="692">
        <v>4</v>
      </c>
      <c r="AO91" s="692">
        <v>5</v>
      </c>
      <c r="AP91" s="692">
        <v>5</v>
      </c>
      <c r="AQ91" s="692">
        <v>5</v>
      </c>
      <c r="AS91" s="841">
        <f t="shared" si="65"/>
        <v>225</v>
      </c>
      <c r="AT91" s="692">
        <f t="shared" si="66"/>
        <v>7.4084107612103836</v>
      </c>
      <c r="AU91" s="692">
        <f t="shared" si="67"/>
        <v>7.4084107612103836</v>
      </c>
      <c r="AV91" s="692">
        <f t="shared" si="68"/>
        <v>8.4084107612103836</v>
      </c>
      <c r="AW91" s="692">
        <f t="shared" si="69"/>
        <v>8.4084107612103836</v>
      </c>
      <c r="AX91" s="692">
        <f t="shared" ref="AX91:AX99" si="72">AQ91-$AK91</f>
        <v>8.4084107612103836</v>
      </c>
    </row>
    <row r="92" spans="7:51" ht="12.75" hidden="1" thickTop="1" x14ac:dyDescent="0.2">
      <c r="G92" s="774"/>
      <c r="H92" s="774"/>
      <c r="I92" s="774"/>
      <c r="J92" s="774"/>
      <c r="K92" s="774"/>
      <c r="L92" s="774"/>
      <c r="M92" s="774"/>
      <c r="N92" s="172"/>
      <c r="O92" s="172"/>
      <c r="P92" s="172"/>
      <c r="Q92" s="172"/>
      <c r="R92" s="172"/>
      <c r="S92" s="172"/>
      <c r="T92" s="172"/>
      <c r="U92" s="172"/>
      <c r="V92" s="172"/>
      <c r="W92" s="172"/>
      <c r="X92" s="172"/>
      <c r="Y92" s="172"/>
      <c r="Z92" s="172"/>
      <c r="AA92" s="172"/>
      <c r="AB92" s="172"/>
      <c r="AC92" s="172"/>
      <c r="AD92" s="172"/>
      <c r="AE92" s="172"/>
      <c r="AF92" s="172"/>
      <c r="AG92" s="172"/>
      <c r="AH92" s="172"/>
      <c r="AI92" s="765">
        <v>275</v>
      </c>
      <c r="AJ92" s="767">
        <f t="shared" si="64"/>
        <v>-3.9862071702670825</v>
      </c>
      <c r="AK92" s="692">
        <f t="shared" si="70"/>
        <v>-2.7903450191869577</v>
      </c>
      <c r="AL92" s="841">
        <f t="shared" si="71"/>
        <v>275</v>
      </c>
      <c r="AM92" s="692">
        <v>4</v>
      </c>
      <c r="AN92" s="692">
        <v>5</v>
      </c>
      <c r="AO92" s="692">
        <v>5</v>
      </c>
      <c r="AP92" s="692">
        <v>5</v>
      </c>
      <c r="AQ92" s="692">
        <v>6</v>
      </c>
      <c r="AR92" s="692">
        <v>6</v>
      </c>
      <c r="AS92" s="841">
        <f t="shared" si="65"/>
        <v>275</v>
      </c>
      <c r="AT92" s="692">
        <f t="shared" si="66"/>
        <v>6.7903450191869581</v>
      </c>
      <c r="AU92" s="692">
        <f t="shared" si="67"/>
        <v>7.7903450191869581</v>
      </c>
      <c r="AV92" s="692">
        <f t="shared" si="68"/>
        <v>7.7903450191869581</v>
      </c>
      <c r="AW92" s="692">
        <f t="shared" si="69"/>
        <v>7.7903450191869581</v>
      </c>
      <c r="AX92" s="692">
        <f t="shared" si="72"/>
        <v>8.7903450191869581</v>
      </c>
      <c r="AY92" s="692">
        <f t="shared" ref="AY92:AY97" si="73">AR92-$AK92</f>
        <v>8.7903450191869581</v>
      </c>
    </row>
    <row r="93" spans="7:51" ht="12.75" hidden="1" thickTop="1" x14ac:dyDescent="0.2">
      <c r="G93" s="774"/>
      <c r="H93" s="774"/>
      <c r="I93" s="774"/>
      <c r="J93" s="774"/>
      <c r="K93" s="774"/>
      <c r="L93" s="774"/>
      <c r="M93" s="774"/>
      <c r="N93" s="172"/>
      <c r="O93" s="172"/>
      <c r="P93" s="172"/>
      <c r="Q93" s="172"/>
      <c r="R93" s="172"/>
      <c r="S93" s="172"/>
      <c r="T93" s="172"/>
      <c r="U93" s="172"/>
      <c r="V93" s="172"/>
      <c r="W93" s="172"/>
      <c r="X93" s="172"/>
      <c r="Y93" s="172"/>
      <c r="Z93" s="172"/>
      <c r="AA93" s="172"/>
      <c r="AB93" s="172"/>
      <c r="AC93" s="172"/>
      <c r="AD93" s="172"/>
      <c r="AE93" s="172"/>
      <c r="AF93" s="172"/>
      <c r="AG93" s="172"/>
      <c r="AH93" s="172"/>
      <c r="AI93" s="765">
        <v>325</v>
      </c>
      <c r="AJ93" s="767">
        <f t="shared" si="64"/>
        <v>-3.251169197749153</v>
      </c>
      <c r="AK93" s="692">
        <f t="shared" si="70"/>
        <v>-2.2758184384244071</v>
      </c>
      <c r="AL93" s="841">
        <f t="shared" si="71"/>
        <v>325</v>
      </c>
      <c r="AM93" s="692">
        <v>5</v>
      </c>
      <c r="AN93" s="692">
        <v>6</v>
      </c>
      <c r="AO93" s="692">
        <v>5</v>
      </c>
      <c r="AP93" s="692">
        <v>6</v>
      </c>
      <c r="AQ93" s="692">
        <v>6</v>
      </c>
      <c r="AR93" s="692">
        <v>7</v>
      </c>
      <c r="AS93" s="841">
        <f t="shared" si="65"/>
        <v>325</v>
      </c>
      <c r="AT93" s="692">
        <f t="shared" si="66"/>
        <v>7.2758184384244071</v>
      </c>
      <c r="AU93" s="692">
        <f t="shared" si="67"/>
        <v>8.2758184384244071</v>
      </c>
      <c r="AV93" s="692">
        <f t="shared" si="68"/>
        <v>7.2758184384244071</v>
      </c>
      <c r="AW93" s="692">
        <f t="shared" si="69"/>
        <v>8.2758184384244071</v>
      </c>
      <c r="AX93" s="692">
        <f t="shared" si="72"/>
        <v>8.2758184384244071</v>
      </c>
      <c r="AY93" s="692">
        <f t="shared" si="73"/>
        <v>9.2758184384244071</v>
      </c>
    </row>
    <row r="94" spans="7:51" ht="12.75" hidden="1" thickTop="1" x14ac:dyDescent="0.2">
      <c r="G94" s="774"/>
      <c r="H94" s="774"/>
      <c r="I94" s="774"/>
      <c r="J94" s="774"/>
      <c r="K94" s="774"/>
      <c r="L94" s="774"/>
      <c r="M94" s="774"/>
      <c r="N94" s="172"/>
      <c r="O94" s="172"/>
      <c r="P94" s="172"/>
      <c r="Q94" s="172"/>
      <c r="R94" s="172"/>
      <c r="S94" s="172"/>
      <c r="T94" s="172"/>
      <c r="U94" s="172"/>
      <c r="V94" s="172"/>
      <c r="W94" s="172"/>
      <c r="X94" s="172"/>
      <c r="Y94" s="172"/>
      <c r="Z94" s="172"/>
      <c r="AA94" s="172"/>
      <c r="AB94" s="172"/>
      <c r="AC94" s="172"/>
      <c r="AD94" s="172"/>
      <c r="AE94" s="172"/>
      <c r="AF94" s="172"/>
      <c r="AG94" s="172"/>
      <c r="AH94" s="172"/>
      <c r="AI94" s="765">
        <v>375</v>
      </c>
      <c r="AJ94" s="767">
        <f t="shared" si="64"/>
        <v>-2.6215254857301922</v>
      </c>
      <c r="AK94" s="692">
        <f t="shared" si="70"/>
        <v>-1.8350678400111344</v>
      </c>
      <c r="AL94" s="841">
        <f t="shared" si="71"/>
        <v>375</v>
      </c>
      <c r="AM94" s="692">
        <v>5</v>
      </c>
      <c r="AN94" s="692">
        <v>6</v>
      </c>
      <c r="AO94" s="692">
        <v>6</v>
      </c>
      <c r="AP94" s="692">
        <v>6</v>
      </c>
      <c r="AQ94" s="692">
        <v>7</v>
      </c>
      <c r="AR94" s="692">
        <v>7</v>
      </c>
      <c r="AS94" s="841">
        <f t="shared" si="65"/>
        <v>375</v>
      </c>
      <c r="AT94" s="692">
        <f t="shared" si="66"/>
        <v>6.8350678400111349</v>
      </c>
      <c r="AU94" s="692">
        <f t="shared" si="67"/>
        <v>7.8350678400111349</v>
      </c>
      <c r="AV94" s="692">
        <f t="shared" si="68"/>
        <v>7.8350678400111349</v>
      </c>
      <c r="AW94" s="692">
        <f t="shared" si="69"/>
        <v>7.8350678400111349</v>
      </c>
      <c r="AX94" s="692">
        <f t="shared" si="72"/>
        <v>8.8350678400111349</v>
      </c>
      <c r="AY94" s="692">
        <f t="shared" si="73"/>
        <v>8.8350678400111349</v>
      </c>
    </row>
    <row r="95" spans="7:51" ht="12.75" hidden="1" thickTop="1" x14ac:dyDescent="0.2">
      <c r="G95" s="774"/>
      <c r="H95" s="774"/>
      <c r="I95" s="774"/>
      <c r="J95" s="774"/>
      <c r="K95" s="774"/>
      <c r="L95" s="774"/>
      <c r="M95" s="774"/>
      <c r="N95" s="172"/>
      <c r="O95" s="172"/>
      <c r="P95" s="172"/>
      <c r="Q95" s="172"/>
      <c r="R95" s="172"/>
      <c r="S95" s="172"/>
      <c r="T95" s="172"/>
      <c r="U95" s="172"/>
      <c r="V95" s="172"/>
      <c r="W95" s="172"/>
      <c r="X95" s="172"/>
      <c r="Y95" s="172"/>
      <c r="Z95" s="172"/>
      <c r="AA95" s="172"/>
      <c r="AB95" s="172"/>
      <c r="AC95" s="172"/>
      <c r="AD95" s="172"/>
      <c r="AE95" s="172"/>
      <c r="AF95" s="172"/>
      <c r="AG95" s="172"/>
      <c r="AH95" s="172"/>
      <c r="AI95" s="765">
        <v>425</v>
      </c>
      <c r="AJ95" s="767">
        <f t="shared" si="64"/>
        <v>-2.070807656732562</v>
      </c>
      <c r="AK95" s="692">
        <f t="shared" si="70"/>
        <v>-1.4495653597127933</v>
      </c>
      <c r="AL95" s="841">
        <f t="shared" si="71"/>
        <v>425</v>
      </c>
      <c r="AM95" s="692">
        <v>6</v>
      </c>
      <c r="AN95" s="692">
        <v>7</v>
      </c>
      <c r="AO95" s="692">
        <v>6</v>
      </c>
      <c r="AP95" s="692">
        <v>7</v>
      </c>
      <c r="AQ95" s="692">
        <v>7</v>
      </c>
      <c r="AR95" s="692">
        <v>7</v>
      </c>
      <c r="AS95" s="841">
        <f t="shared" si="65"/>
        <v>425</v>
      </c>
      <c r="AT95" s="692">
        <f t="shared" si="66"/>
        <v>7.4495653597127935</v>
      </c>
      <c r="AU95" s="692">
        <f t="shared" si="67"/>
        <v>8.4495653597127927</v>
      </c>
      <c r="AV95" s="692">
        <f t="shared" si="68"/>
        <v>7.4495653597127935</v>
      </c>
      <c r="AW95" s="692">
        <f t="shared" si="69"/>
        <v>8.4495653597127927</v>
      </c>
      <c r="AX95" s="692">
        <f t="shared" si="72"/>
        <v>8.4495653597127927</v>
      </c>
      <c r="AY95" s="692">
        <f t="shared" si="73"/>
        <v>8.4495653597127927</v>
      </c>
    </row>
    <row r="96" spans="7:51" ht="12.75" hidden="1" thickTop="1" x14ac:dyDescent="0.2">
      <c r="G96" s="774"/>
      <c r="H96" s="774"/>
      <c r="I96" s="774"/>
      <c r="J96" s="774"/>
      <c r="K96" s="774"/>
      <c r="L96" s="774"/>
      <c r="M96" s="774"/>
      <c r="N96" s="172"/>
      <c r="O96" s="172"/>
      <c r="P96" s="172"/>
      <c r="Q96" s="172"/>
      <c r="R96" s="172"/>
      <c r="S96" s="172"/>
      <c r="T96" s="172"/>
      <c r="U96" s="172"/>
      <c r="V96" s="172"/>
      <c r="W96" s="172"/>
      <c r="X96" s="172"/>
      <c r="Y96" s="172"/>
      <c r="Z96" s="172"/>
      <c r="AA96" s="172"/>
      <c r="AB96" s="172"/>
      <c r="AC96" s="172"/>
      <c r="AD96" s="172"/>
      <c r="AE96" s="172"/>
      <c r="AF96" s="172"/>
      <c r="AG96" s="172"/>
      <c r="AH96" s="172"/>
      <c r="AI96" s="765">
        <v>475</v>
      </c>
      <c r="AJ96" s="767">
        <f t="shared" si="64"/>
        <v>-1.581414862247577</v>
      </c>
      <c r="AK96" s="692">
        <f t="shared" si="70"/>
        <v>-1.1069904035733038</v>
      </c>
      <c r="AL96" s="841">
        <f t="shared" si="71"/>
        <v>475</v>
      </c>
      <c r="AM96" s="692">
        <v>6</v>
      </c>
      <c r="AN96" s="692">
        <v>7</v>
      </c>
      <c r="AO96" s="692">
        <v>7</v>
      </c>
      <c r="AP96" s="692">
        <v>7</v>
      </c>
      <c r="AQ96" s="692">
        <v>7</v>
      </c>
      <c r="AR96" s="692">
        <v>8</v>
      </c>
      <c r="AS96" s="841">
        <f t="shared" si="65"/>
        <v>475</v>
      </c>
      <c r="AT96" s="692">
        <f t="shared" si="66"/>
        <v>7.1069904035733042</v>
      </c>
      <c r="AU96" s="692">
        <f t="shared" si="67"/>
        <v>8.1069904035733042</v>
      </c>
      <c r="AV96" s="692">
        <f t="shared" si="68"/>
        <v>8.1069904035733042</v>
      </c>
      <c r="AW96" s="692">
        <f t="shared" si="69"/>
        <v>8.1069904035733042</v>
      </c>
      <c r="AX96" s="692">
        <f t="shared" si="72"/>
        <v>8.1069904035733042</v>
      </c>
      <c r="AY96" s="692">
        <f t="shared" si="73"/>
        <v>9.1069904035733042</v>
      </c>
    </row>
    <row r="97" spans="7:51" ht="12.75" hidden="1" thickTop="1" x14ac:dyDescent="0.2">
      <c r="G97" s="774"/>
      <c r="H97" s="774"/>
      <c r="I97" s="774"/>
      <c r="J97" s="774"/>
      <c r="K97" s="774"/>
      <c r="L97" s="774"/>
      <c r="M97" s="774"/>
      <c r="N97" s="172"/>
      <c r="O97" s="172"/>
      <c r="P97" s="172"/>
      <c r="Q97" s="172"/>
      <c r="R97" s="172"/>
      <c r="S97" s="172"/>
      <c r="T97" s="172"/>
      <c r="U97" s="172"/>
      <c r="V97" s="172"/>
      <c r="W97" s="172"/>
      <c r="X97" s="172"/>
      <c r="Y97" s="172"/>
      <c r="Z97" s="172"/>
      <c r="AA97" s="172"/>
      <c r="AB97" s="172"/>
      <c r="AC97" s="172"/>
      <c r="AD97" s="172"/>
      <c r="AE97" s="172"/>
      <c r="AF97" s="172"/>
      <c r="AG97" s="172"/>
      <c r="AH97" s="172"/>
      <c r="AI97" s="765">
        <v>525</v>
      </c>
      <c r="AJ97" s="767">
        <f t="shared" si="64"/>
        <v>-1.1410476445968527</v>
      </c>
      <c r="AK97" s="692">
        <f t="shared" si="70"/>
        <v>-0.79873335121779687</v>
      </c>
      <c r="AL97" s="841">
        <f t="shared" si="71"/>
        <v>525</v>
      </c>
      <c r="AM97" s="692">
        <v>7</v>
      </c>
      <c r="AN97" s="692">
        <v>8</v>
      </c>
      <c r="AO97" s="692">
        <v>7</v>
      </c>
      <c r="AP97" s="692">
        <v>7</v>
      </c>
      <c r="AQ97" s="692">
        <v>8</v>
      </c>
      <c r="AR97" s="692">
        <v>8</v>
      </c>
      <c r="AS97" s="841">
        <f t="shared" si="65"/>
        <v>525</v>
      </c>
      <c r="AT97" s="692">
        <f t="shared" si="66"/>
        <v>7.7987333512177965</v>
      </c>
      <c r="AU97" s="692">
        <f t="shared" si="67"/>
        <v>8.7987333512177965</v>
      </c>
      <c r="AV97" s="692">
        <f t="shared" si="68"/>
        <v>7.7987333512177965</v>
      </c>
      <c r="AW97" s="692">
        <f t="shared" si="69"/>
        <v>7.7987333512177965</v>
      </c>
      <c r="AX97" s="692">
        <f t="shared" si="72"/>
        <v>8.7987333512177965</v>
      </c>
      <c r="AY97" s="692">
        <f t="shared" si="73"/>
        <v>8.7987333512177965</v>
      </c>
    </row>
    <row r="98" spans="7:51" ht="12.75" hidden="1" thickTop="1" x14ac:dyDescent="0.2">
      <c r="G98" s="774"/>
      <c r="H98" s="774"/>
      <c r="I98" s="774"/>
      <c r="J98" s="774"/>
      <c r="K98" s="774"/>
      <c r="L98" s="774"/>
      <c r="M98" s="774"/>
      <c r="N98" s="172"/>
      <c r="O98" s="172"/>
      <c r="P98" s="172"/>
      <c r="Q98" s="172"/>
      <c r="R98" s="172"/>
      <c r="S98" s="172"/>
      <c r="T98" s="172"/>
      <c r="U98" s="172"/>
      <c r="V98" s="172"/>
      <c r="W98" s="172"/>
      <c r="X98" s="172"/>
      <c r="Y98" s="172"/>
      <c r="Z98" s="172"/>
      <c r="AA98" s="172"/>
      <c r="AB98" s="172"/>
      <c r="AC98" s="172"/>
      <c r="AD98" s="172"/>
      <c r="AE98" s="172"/>
      <c r="AF98" s="172"/>
      <c r="AG98" s="172"/>
      <c r="AH98" s="172"/>
      <c r="AI98" s="765">
        <v>575</v>
      </c>
      <c r="AJ98" s="767">
        <f t="shared" si="64"/>
        <v>-0.74077182049165557</v>
      </c>
      <c r="AK98" s="692">
        <f t="shared" si="70"/>
        <v>-0.51854027434415884</v>
      </c>
      <c r="AL98" s="841">
        <f t="shared" si="71"/>
        <v>575</v>
      </c>
      <c r="AM98" s="692">
        <v>7</v>
      </c>
      <c r="AN98" s="692">
        <v>9</v>
      </c>
      <c r="AO98" s="692">
        <v>7</v>
      </c>
      <c r="AP98" s="692">
        <v>7</v>
      </c>
      <c r="AQ98" s="692">
        <v>8</v>
      </c>
      <c r="AS98" s="841">
        <f t="shared" si="65"/>
        <v>575</v>
      </c>
      <c r="AT98" s="692">
        <f t="shared" si="66"/>
        <v>7.5185402743441587</v>
      </c>
      <c r="AU98" s="692">
        <f t="shared" si="67"/>
        <v>9.5185402743441596</v>
      </c>
      <c r="AV98" s="692">
        <f t="shared" si="68"/>
        <v>7.5185402743441587</v>
      </c>
      <c r="AW98" s="692">
        <f t="shared" si="69"/>
        <v>7.5185402743441587</v>
      </c>
      <c r="AX98" s="692">
        <f t="shared" si="72"/>
        <v>8.5185402743441596</v>
      </c>
    </row>
    <row r="99" spans="7:51" ht="12.75" hidden="1" thickTop="1" x14ac:dyDescent="0.2">
      <c r="G99" s="774"/>
      <c r="H99" s="774"/>
      <c r="I99" s="774"/>
      <c r="J99" s="774"/>
      <c r="K99" s="774"/>
      <c r="L99" s="774"/>
      <c r="M99" s="774"/>
      <c r="N99" s="172"/>
      <c r="O99" s="172"/>
      <c r="P99" s="172"/>
      <c r="Q99" s="172"/>
      <c r="R99" s="172"/>
      <c r="S99" s="172"/>
      <c r="T99" s="172"/>
      <c r="U99" s="172"/>
      <c r="V99" s="172"/>
      <c r="W99" s="172"/>
      <c r="X99" s="172"/>
      <c r="Y99" s="172"/>
      <c r="Z99" s="172"/>
      <c r="AA99" s="172"/>
      <c r="AB99" s="172"/>
      <c r="AC99" s="172"/>
      <c r="AD99" s="172"/>
      <c r="AE99" s="172"/>
      <c r="AF99" s="172"/>
      <c r="AG99" s="172"/>
      <c r="AH99" s="172"/>
      <c r="AI99" s="765">
        <v>625</v>
      </c>
      <c r="AJ99" s="767">
        <f t="shared" si="64"/>
        <v>-0.37389274115983184</v>
      </c>
      <c r="AK99" s="692">
        <f t="shared" si="70"/>
        <v>-0.26172491881188226</v>
      </c>
      <c r="AL99" s="841">
        <f t="shared" si="71"/>
        <v>625</v>
      </c>
      <c r="AO99" s="692">
        <v>7</v>
      </c>
      <c r="AP99" s="692">
        <v>8</v>
      </c>
      <c r="AQ99" s="692">
        <v>8</v>
      </c>
      <c r="AS99" s="841">
        <f t="shared" si="65"/>
        <v>625</v>
      </c>
      <c r="AV99" s="692">
        <f>AO99-$AK99</f>
        <v>7.2617249188118826</v>
      </c>
      <c r="AW99" s="692">
        <f>AP99-$AK99</f>
        <v>8.2617249188118826</v>
      </c>
      <c r="AX99" s="692">
        <f t="shared" si="72"/>
        <v>8.2617249188118826</v>
      </c>
    </row>
    <row r="100" spans="7:51" ht="13.5" hidden="1" thickTop="1" thickBot="1" x14ac:dyDescent="0.25">
      <c r="G100" s="774"/>
      <c r="H100" s="774"/>
      <c r="I100" s="774"/>
      <c r="J100" s="774"/>
      <c r="K100" s="774"/>
      <c r="L100" s="774"/>
      <c r="M100" s="774"/>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765"/>
      <c r="AJ100" s="771"/>
      <c r="AL100" s="841"/>
      <c r="AS100" s="692" t="s">
        <v>361</v>
      </c>
      <c r="AT100" s="692">
        <f t="shared" ref="AT100:AY100" si="74">AVERAGE(AT90:AT99)</f>
        <v>7.2628811831107232</v>
      </c>
      <c r="AU100" s="692">
        <f t="shared" si="74"/>
        <v>8.2628811831107232</v>
      </c>
      <c r="AV100" s="692">
        <f t="shared" si="74"/>
        <v>7.7627655566808382</v>
      </c>
      <c r="AW100" s="692">
        <f t="shared" si="74"/>
        <v>8.0627655566808389</v>
      </c>
      <c r="AX100" s="692">
        <f t="shared" si="74"/>
        <v>8.4939107073880908</v>
      </c>
      <c r="AY100" s="692">
        <f t="shared" si="74"/>
        <v>8.8760867353544004</v>
      </c>
    </row>
    <row r="101" spans="7:51" ht="12.75" hidden="1" thickTop="1" x14ac:dyDescent="0.2">
      <c r="G101" s="774"/>
      <c r="H101" s="774"/>
      <c r="I101" s="774"/>
      <c r="J101" s="774"/>
      <c r="K101" s="774"/>
      <c r="L101" s="774"/>
      <c r="M101" s="774"/>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row>
    <row r="102" spans="7:51" ht="12.75" hidden="1" thickTop="1" x14ac:dyDescent="0.2">
      <c r="G102" s="774"/>
      <c r="H102" s="774"/>
      <c r="I102" s="774"/>
      <c r="J102" s="774"/>
      <c r="K102" s="774"/>
      <c r="L102" s="774"/>
      <c r="M102" s="774"/>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row>
    <row r="103" spans="7:51" ht="12.75" hidden="1" thickTop="1" x14ac:dyDescent="0.2">
      <c r="G103" s="774"/>
      <c r="H103" s="774"/>
      <c r="I103" s="774"/>
      <c r="J103" s="774"/>
      <c r="K103" s="774"/>
      <c r="L103" s="774"/>
      <c r="M103" s="774"/>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row>
    <row r="104" spans="7:51" ht="12.75" hidden="1" thickTop="1" x14ac:dyDescent="0.2">
      <c r="G104" s="774"/>
      <c r="H104" s="774"/>
      <c r="I104" s="774"/>
      <c r="J104" s="774"/>
      <c r="K104" s="774"/>
      <c r="L104" s="774"/>
      <c r="M104" s="774"/>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row>
    <row r="105" spans="7:51" ht="12.75" hidden="1" thickTop="1" x14ac:dyDescent="0.2">
      <c r="G105" s="774"/>
      <c r="H105" s="774"/>
      <c r="I105" s="774"/>
      <c r="J105" s="774"/>
      <c r="K105" s="774"/>
      <c r="L105" s="774"/>
      <c r="M105" s="774"/>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row>
    <row r="106" spans="7:51" ht="12.75" hidden="1" thickTop="1" x14ac:dyDescent="0.2">
      <c r="G106" s="774"/>
      <c r="H106" s="774"/>
      <c r="I106" s="774"/>
      <c r="J106" s="774"/>
      <c r="K106" s="774"/>
      <c r="L106" s="774"/>
      <c r="M106" s="774"/>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row>
    <row r="107" spans="7:51" ht="12.75" hidden="1" thickTop="1" x14ac:dyDescent="0.2">
      <c r="G107" s="774"/>
      <c r="H107" s="774"/>
      <c r="I107" s="774"/>
      <c r="J107" s="774"/>
      <c r="K107" s="774"/>
      <c r="L107" s="774"/>
      <c r="M107" s="774"/>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row>
    <row r="108" spans="7:51" ht="12.75" hidden="1" thickTop="1" x14ac:dyDescent="0.2">
      <c r="G108" s="774"/>
      <c r="H108" s="774"/>
      <c r="I108" s="774"/>
      <c r="J108" s="774"/>
      <c r="K108" s="774"/>
      <c r="L108" s="774"/>
      <c r="M108" s="774"/>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row>
    <row r="109" spans="7:51" ht="12.75" hidden="1" thickTop="1" x14ac:dyDescent="0.2">
      <c r="G109" s="774"/>
      <c r="H109" s="774"/>
      <c r="I109" s="774"/>
      <c r="J109" s="774"/>
      <c r="K109" s="774"/>
      <c r="L109" s="774"/>
      <c r="M109" s="774"/>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row>
    <row r="110" spans="7:51" ht="12.75" hidden="1" thickTop="1" x14ac:dyDescent="0.2">
      <c r="G110" s="774"/>
      <c r="H110" s="774"/>
      <c r="I110" s="774"/>
      <c r="J110" s="774"/>
      <c r="K110" s="774"/>
      <c r="L110" s="774"/>
      <c r="M110" s="774"/>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row>
    <row r="111" spans="7:51" ht="12.75" hidden="1" thickTop="1" x14ac:dyDescent="0.2">
      <c r="G111" s="774"/>
      <c r="H111" s="774"/>
      <c r="I111" s="774"/>
      <c r="J111" s="774"/>
      <c r="K111" s="774"/>
      <c r="L111" s="774"/>
      <c r="M111" s="774"/>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row>
    <row r="112" spans="7:51" ht="12.75" hidden="1" thickTop="1" x14ac:dyDescent="0.2">
      <c r="G112" s="774"/>
      <c r="H112" s="774"/>
      <c r="I112" s="774"/>
      <c r="J112" s="774"/>
      <c r="K112" s="774"/>
      <c r="L112" s="774"/>
      <c r="M112" s="774"/>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row>
    <row r="113" spans="7:34" ht="12.75" hidden="1" thickTop="1" x14ac:dyDescent="0.2">
      <c r="G113" s="774"/>
      <c r="H113" s="774"/>
      <c r="I113" s="774"/>
      <c r="J113" s="774"/>
      <c r="K113" s="774"/>
      <c r="L113" s="774"/>
      <c r="M113" s="774"/>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row>
    <row r="114" spans="7:34" ht="12.75" hidden="1" thickTop="1" x14ac:dyDescent="0.2">
      <c r="G114" s="774"/>
      <c r="H114" s="774"/>
      <c r="I114" s="774"/>
      <c r="J114" s="774"/>
      <c r="K114" s="774"/>
      <c r="L114" s="774"/>
      <c r="M114" s="774"/>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row>
    <row r="115" spans="7:34" ht="12.75" hidden="1" thickTop="1" x14ac:dyDescent="0.2">
      <c r="G115" s="774"/>
      <c r="H115" s="774"/>
      <c r="I115" s="774"/>
      <c r="J115" s="774"/>
      <c r="K115" s="774"/>
      <c r="L115" s="774"/>
      <c r="M115" s="774"/>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row>
    <row r="116" spans="7:34" ht="12.75" hidden="1" thickTop="1" x14ac:dyDescent="0.2">
      <c r="G116" s="774"/>
      <c r="H116" s="774"/>
      <c r="I116" s="774"/>
      <c r="J116" s="774"/>
      <c r="K116" s="774"/>
      <c r="L116" s="774"/>
      <c r="M116" s="774"/>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row>
    <row r="117" spans="7:34" ht="12.75" hidden="1" thickTop="1" x14ac:dyDescent="0.2">
      <c r="G117" s="774"/>
      <c r="H117" s="774"/>
      <c r="I117" s="774"/>
      <c r="J117" s="774"/>
      <c r="K117" s="774"/>
      <c r="L117" s="774"/>
      <c r="M117" s="774"/>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row>
    <row r="118" spans="7:34" ht="12.75" hidden="1" thickTop="1" x14ac:dyDescent="0.2">
      <c r="G118" s="774"/>
      <c r="H118" s="774"/>
      <c r="I118" s="774"/>
      <c r="J118" s="774"/>
      <c r="K118" s="774"/>
      <c r="L118" s="774"/>
      <c r="M118" s="774"/>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row>
    <row r="119" spans="7:34" ht="12.75" hidden="1" thickTop="1" x14ac:dyDescent="0.2">
      <c r="G119" s="774"/>
      <c r="H119" s="774"/>
      <c r="I119" s="774"/>
      <c r="J119" s="774"/>
      <c r="K119" s="774"/>
      <c r="L119" s="774"/>
      <c r="M119" s="774"/>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row>
    <row r="120" spans="7:34" ht="12.75" hidden="1" thickTop="1" x14ac:dyDescent="0.2">
      <c r="G120" s="774"/>
      <c r="H120" s="774"/>
      <c r="I120" s="774"/>
      <c r="J120" s="774"/>
      <c r="K120" s="774"/>
      <c r="L120" s="774"/>
      <c r="M120" s="774"/>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row>
    <row r="121" spans="7:34" ht="12.75" hidden="1" thickTop="1" x14ac:dyDescent="0.2">
      <c r="G121" s="774"/>
      <c r="H121" s="774"/>
      <c r="I121" s="774"/>
      <c r="J121" s="774"/>
      <c r="K121" s="774"/>
      <c r="L121" s="774"/>
      <c r="M121" s="774"/>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row>
    <row r="122" spans="7:34" ht="12.75" hidden="1" thickTop="1" x14ac:dyDescent="0.2">
      <c r="G122" s="774"/>
      <c r="H122" s="774"/>
      <c r="I122" s="774"/>
      <c r="J122" s="774"/>
      <c r="K122" s="774"/>
      <c r="L122" s="774"/>
      <c r="M122" s="774"/>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row>
    <row r="123" spans="7:34" ht="12.75" hidden="1" thickTop="1" x14ac:dyDescent="0.2">
      <c r="G123" s="774"/>
      <c r="H123" s="774"/>
      <c r="I123" s="774"/>
      <c r="J123" s="774"/>
      <c r="K123" s="774"/>
      <c r="L123" s="774"/>
      <c r="M123" s="774"/>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row>
    <row r="124" spans="7:34" ht="12.75" hidden="1" thickTop="1" x14ac:dyDescent="0.2">
      <c r="G124" s="774"/>
      <c r="H124" s="774"/>
      <c r="I124" s="774"/>
      <c r="J124" s="774"/>
      <c r="K124" s="774"/>
      <c r="L124" s="774"/>
      <c r="M124" s="774"/>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row>
    <row r="125" spans="7:34" ht="12.75" hidden="1" thickTop="1" x14ac:dyDescent="0.2">
      <c r="G125" s="774"/>
      <c r="H125" s="774"/>
      <c r="I125" s="774"/>
      <c r="J125" s="774"/>
      <c r="K125" s="774"/>
      <c r="L125" s="774"/>
      <c r="M125" s="774"/>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row>
    <row r="126" spans="7:34" ht="12.75" hidden="1" thickTop="1" x14ac:dyDescent="0.2">
      <c r="G126" s="774"/>
      <c r="H126" s="774"/>
      <c r="I126" s="774"/>
      <c r="J126" s="774"/>
      <c r="K126" s="774"/>
      <c r="L126" s="774"/>
      <c r="M126" s="774"/>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row>
    <row r="127" spans="7:34" ht="12.75" hidden="1" thickTop="1" x14ac:dyDescent="0.2">
      <c r="G127" s="774"/>
      <c r="H127" s="774"/>
      <c r="I127" s="774"/>
      <c r="J127" s="774"/>
      <c r="K127" s="774"/>
      <c r="L127" s="774"/>
      <c r="M127" s="774"/>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row>
    <row r="128" spans="7:34" ht="12.75" hidden="1" thickTop="1" x14ac:dyDescent="0.2">
      <c r="G128" s="774"/>
      <c r="H128" s="774"/>
      <c r="I128" s="774"/>
      <c r="J128" s="774"/>
      <c r="K128" s="774"/>
      <c r="L128" s="774"/>
      <c r="M128" s="774"/>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row>
    <row r="129" spans="7:34" ht="12.75" hidden="1" thickTop="1" x14ac:dyDescent="0.2">
      <c r="G129" s="774"/>
      <c r="H129" s="774"/>
      <c r="I129" s="774"/>
      <c r="J129" s="774"/>
      <c r="K129" s="774"/>
      <c r="L129" s="774"/>
      <c r="M129" s="774"/>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row>
    <row r="130" spans="7:34" ht="12.75" hidden="1" thickTop="1" x14ac:dyDescent="0.2">
      <c r="G130" s="774"/>
      <c r="H130" s="774"/>
      <c r="I130" s="774"/>
      <c r="J130" s="774"/>
      <c r="K130" s="774"/>
      <c r="L130" s="774"/>
      <c r="M130" s="774"/>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row>
    <row r="131" spans="7:34" ht="12.75" hidden="1" thickTop="1" x14ac:dyDescent="0.2">
      <c r="G131" s="774"/>
      <c r="H131" s="774"/>
      <c r="I131" s="774"/>
      <c r="J131" s="774"/>
      <c r="K131" s="774"/>
      <c r="L131" s="774"/>
      <c r="M131" s="774"/>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row>
    <row r="132" spans="7:34" ht="12.75" hidden="1" thickTop="1" x14ac:dyDescent="0.2">
      <c r="G132" s="774"/>
      <c r="H132" s="774"/>
      <c r="I132" s="774"/>
      <c r="J132" s="774"/>
      <c r="K132" s="774"/>
      <c r="L132" s="774"/>
      <c r="M132" s="774"/>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row>
    <row r="133" spans="7:34" ht="12.75" hidden="1" thickTop="1" x14ac:dyDescent="0.2">
      <c r="G133" s="774"/>
      <c r="H133" s="774"/>
      <c r="I133" s="774"/>
      <c r="J133" s="774"/>
      <c r="K133" s="774"/>
      <c r="L133" s="774"/>
      <c r="M133" s="774"/>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row>
    <row r="134" spans="7:34" ht="12.75" hidden="1" thickTop="1" x14ac:dyDescent="0.2">
      <c r="G134" s="774"/>
      <c r="H134" s="774"/>
      <c r="I134" s="774"/>
      <c r="J134" s="774"/>
      <c r="K134" s="774"/>
      <c r="L134" s="774"/>
      <c r="M134" s="774"/>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row>
    <row r="135" spans="7:34" ht="12.75" hidden="1" thickTop="1" x14ac:dyDescent="0.2">
      <c r="G135" s="774"/>
      <c r="H135" s="774"/>
      <c r="I135" s="774"/>
      <c r="J135" s="774"/>
      <c r="K135" s="774"/>
      <c r="L135" s="774"/>
      <c r="M135" s="774"/>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row>
    <row r="136" spans="7:34" ht="12.75" hidden="1" thickTop="1" x14ac:dyDescent="0.2"/>
    <row r="137" spans="7:34" ht="12.75" hidden="1" thickTop="1" x14ac:dyDescent="0.2"/>
    <row r="138" spans="7:34" ht="12.75" hidden="1" thickTop="1" x14ac:dyDescent="0.2"/>
    <row r="139" spans="7:34" ht="12.75" hidden="1" thickTop="1" x14ac:dyDescent="0.2"/>
    <row r="140" spans="7:34" ht="12.75" hidden="1" thickTop="1" x14ac:dyDescent="0.2"/>
    <row r="141" spans="7:34" ht="12.75" hidden="1" thickTop="1" x14ac:dyDescent="0.2"/>
    <row r="142" spans="7:34" ht="12.75" hidden="1" thickTop="1" x14ac:dyDescent="0.2"/>
    <row r="143" spans="7:34" ht="12.75" hidden="1" thickTop="1" x14ac:dyDescent="0.2"/>
    <row r="144" spans="7:34" ht="12.75" hidden="1" thickTop="1" x14ac:dyDescent="0.2"/>
    <row r="145" ht="12.75" hidden="1" thickTop="1" x14ac:dyDescent="0.2"/>
    <row r="146" ht="12.75" hidden="1" thickTop="1" x14ac:dyDescent="0.2"/>
    <row r="147" ht="12.75" hidden="1" thickTop="1" x14ac:dyDescent="0.2"/>
    <row r="148" ht="12.75" hidden="1" thickTop="1" x14ac:dyDescent="0.2"/>
    <row r="149" ht="12.75" hidden="1" thickTop="1" x14ac:dyDescent="0.2"/>
    <row r="150" ht="12.75" hidden="1" thickTop="1" x14ac:dyDescent="0.2"/>
    <row r="151" ht="12.75" hidden="1" thickTop="1" x14ac:dyDescent="0.2"/>
    <row r="152" ht="12.75" hidden="1" thickTop="1" x14ac:dyDescent="0.2"/>
    <row r="153" ht="12.75" hidden="1" thickTop="1" x14ac:dyDescent="0.2"/>
    <row r="154" ht="12.75" hidden="1" thickTop="1" x14ac:dyDescent="0.2"/>
    <row r="155" ht="12.75" hidden="1" thickTop="1" x14ac:dyDescent="0.2"/>
    <row r="156" ht="12.75" hidden="1" thickTop="1" x14ac:dyDescent="0.2"/>
    <row r="157" ht="12.75" hidden="1" thickTop="1" x14ac:dyDescent="0.2"/>
    <row r="158" ht="12.75" hidden="1" thickTop="1" x14ac:dyDescent="0.2"/>
    <row r="159" ht="12.75" hidden="1" thickTop="1" x14ac:dyDescent="0.2"/>
    <row r="160" ht="12.75" hidden="1" thickTop="1" x14ac:dyDescent="0.2"/>
    <row r="161" ht="12.75" hidden="1" thickTop="1" x14ac:dyDescent="0.2"/>
    <row r="162" ht="12.75" hidden="1" thickTop="1" x14ac:dyDescent="0.2"/>
    <row r="163" ht="12.75" hidden="1" thickTop="1" x14ac:dyDescent="0.2"/>
    <row r="164" ht="12.75" hidden="1" thickTop="1" x14ac:dyDescent="0.2"/>
    <row r="165" ht="12.75" hidden="1" thickTop="1" x14ac:dyDescent="0.2"/>
    <row r="166" ht="12.75" hidden="1" thickTop="1" x14ac:dyDescent="0.2"/>
    <row r="167" ht="12.75" hidden="1" thickTop="1" x14ac:dyDescent="0.2"/>
    <row r="168" ht="12.75" hidden="1" thickTop="1" x14ac:dyDescent="0.2"/>
    <row r="169" ht="12.75" hidden="1" thickTop="1" x14ac:dyDescent="0.2"/>
    <row r="170" ht="12.75" hidden="1" thickTop="1" x14ac:dyDescent="0.2"/>
    <row r="171" ht="12.75" hidden="1" thickTop="1" x14ac:dyDescent="0.2"/>
    <row r="172" ht="12.75" hidden="1" thickTop="1" x14ac:dyDescent="0.2"/>
    <row r="173" ht="12.75" hidden="1" thickTop="1" x14ac:dyDescent="0.2"/>
    <row r="174" ht="12.75" hidden="1" thickTop="1" x14ac:dyDescent="0.2"/>
    <row r="175" ht="12.75" hidden="1" thickTop="1" x14ac:dyDescent="0.2"/>
    <row r="176" ht="12.75" hidden="1" thickTop="1" x14ac:dyDescent="0.2"/>
    <row r="177" ht="12.75" hidden="1" thickTop="1" x14ac:dyDescent="0.2"/>
    <row r="178" ht="12.75" hidden="1" thickTop="1" x14ac:dyDescent="0.2"/>
    <row r="179" ht="12.75" hidden="1" thickTop="1" x14ac:dyDescent="0.2"/>
    <row r="180" ht="12.75" hidden="1" thickTop="1" x14ac:dyDescent="0.2"/>
    <row r="181" ht="12.75" hidden="1" thickTop="1" x14ac:dyDescent="0.2"/>
    <row r="182" ht="12.75" hidden="1" thickTop="1" x14ac:dyDescent="0.2"/>
  </sheetData>
  <sheetProtection password="ECA3" sheet="1" objects="1" scenarios="1"/>
  <customSheetViews>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1"/>
    </customSheetView>
  </customSheetViews>
  <mergeCells count="1">
    <mergeCell ref="R24:T24"/>
  </mergeCells>
  <conditionalFormatting sqref="K15:Q15 J10:J17">
    <cfRule type="cellIs" dxfId="4" priority="21" stopIfTrue="1" operator="equal">
      <formula>0</formula>
    </cfRule>
  </conditionalFormatting>
  <conditionalFormatting sqref="J18:J20">
    <cfRule type="cellIs" dxfId="3" priority="13" stopIfTrue="1" operator="equal">
      <formula>0</formula>
    </cfRule>
  </conditionalFormatting>
  <conditionalFormatting sqref="V28:AF28">
    <cfRule type="cellIs" dxfId="2" priority="8" operator="lessThan">
      <formula>V27</formula>
    </cfRule>
  </conditionalFormatting>
  <conditionalFormatting sqref="V28:AF28">
    <cfRule type="cellIs" dxfId="1" priority="7" operator="greaterThan">
      <formula>V27</formula>
    </cfRule>
  </conditionalFormatting>
  <conditionalFormatting sqref="U29">
    <cfRule type="containsText" dxfId="0" priority="1" operator="containsText" text="!">
      <formula>NOT(ISERROR(SEARCH("!",U29)))</formula>
    </cfRule>
  </conditionalFormatting>
  <pageMargins left="0.31496062992125984" right="0.31496062992125984" top="0.78740157480314965" bottom="0.78740157480314965" header="0.31496062992125984" footer="0.31496062992125984"/>
  <pageSetup paperSize="9" scale="53"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6" name="Option Button 2">
              <controlPr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7"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8" name="Group Box 4">
              <controlPr defaultSize="0" autoFill="0" autoPict="0">
                <anchor moveWithCells="1">
                  <from>
                    <xdr:col>1</xdr:col>
                    <xdr:colOff>0</xdr:colOff>
                    <xdr:row>2</xdr:row>
                    <xdr:rowOff>0</xdr:rowOff>
                  </from>
                  <to>
                    <xdr:col>5</xdr:col>
                    <xdr:colOff>19050</xdr:colOff>
                    <xdr:row>5</xdr:row>
                    <xdr:rowOff>0</xdr:rowOff>
                  </to>
                </anchor>
              </controlPr>
            </control>
          </mc:Choice>
        </mc:AlternateContent>
        <mc:AlternateContent xmlns:mc="http://schemas.openxmlformats.org/markup-compatibility/2006">
          <mc:Choice Requires="x14">
            <control shapeId="18437" r:id="rId9"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10" name="Option Button 6">
              <controlPr defaultSize="0" autoFill="0" autoLine="0" autoPict="0">
                <anchor moveWithCells="1">
                  <from>
                    <xdr:col>1</xdr:col>
                    <xdr:colOff>85725</xdr:colOff>
                    <xdr:row>3</xdr:row>
                    <xdr:rowOff>228600</xdr:rowOff>
                  </from>
                  <to>
                    <xdr:col>3</xdr:col>
                    <xdr:colOff>19050</xdr:colOff>
                    <xdr:row>4</xdr:row>
                    <xdr:rowOff>219075</xdr:rowOff>
                  </to>
                </anchor>
              </controlPr>
            </control>
          </mc:Choice>
        </mc:AlternateContent>
        <mc:AlternateContent xmlns:mc="http://schemas.openxmlformats.org/markup-compatibility/2006">
          <mc:Choice Requires="x14">
            <control shapeId="18439" r:id="rId11" name="Group Box 7">
              <controlPr defaultSize="0" autoFill="0" autoPict="0">
                <anchor moveWithCells="1">
                  <from>
                    <xdr:col>10</xdr:col>
                    <xdr:colOff>9525</xdr:colOff>
                    <xdr:row>2</xdr:row>
                    <xdr:rowOff>0</xdr:rowOff>
                  </from>
                  <to>
                    <xdr:col>14</xdr:col>
                    <xdr:colOff>0</xdr:colOff>
                    <xdr:row>5</xdr:row>
                    <xdr:rowOff>19050</xdr:rowOff>
                  </to>
                </anchor>
              </controlPr>
            </control>
          </mc:Choice>
        </mc:AlternateContent>
        <mc:AlternateContent xmlns:mc="http://schemas.openxmlformats.org/markup-compatibility/2006">
          <mc:Choice Requires="x14">
            <control shapeId="18440" r:id="rId12"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3"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46" r:id="rId14" name="Drop Down 14">
              <controlPr locked="0" defaultSize="0" print="0" autoFill="0" autoLine="0" autoPict="0">
                <anchor moveWithCells="1">
                  <from>
                    <xdr:col>2</xdr:col>
                    <xdr:colOff>0</xdr:colOff>
                    <xdr:row>9</xdr:row>
                    <xdr:rowOff>9525</xdr:rowOff>
                  </from>
                  <to>
                    <xdr:col>6</xdr:col>
                    <xdr:colOff>0</xdr:colOff>
                    <xdr:row>9</xdr:row>
                    <xdr:rowOff>257175</xdr:rowOff>
                  </to>
                </anchor>
              </controlPr>
            </control>
          </mc:Choice>
        </mc:AlternateContent>
        <mc:AlternateContent xmlns:mc="http://schemas.openxmlformats.org/markup-compatibility/2006">
          <mc:Choice Requires="x14">
            <control shapeId="18447" r:id="rId15" name="Drop Down 15">
              <controlPr locked="0" defaultSize="0" print="0" autoFill="0" autoLine="0" autoPict="0">
                <anchor moveWithCells="1">
                  <from>
                    <xdr:col>2</xdr:col>
                    <xdr:colOff>9525</xdr:colOff>
                    <xdr:row>10</xdr:row>
                    <xdr:rowOff>9525</xdr:rowOff>
                  </from>
                  <to>
                    <xdr:col>6</xdr:col>
                    <xdr:colOff>9525</xdr:colOff>
                    <xdr:row>11</xdr:row>
                    <xdr:rowOff>9525</xdr:rowOff>
                  </to>
                </anchor>
              </controlPr>
            </control>
          </mc:Choice>
        </mc:AlternateContent>
        <mc:AlternateContent xmlns:mc="http://schemas.openxmlformats.org/markup-compatibility/2006">
          <mc:Choice Requires="x14">
            <control shapeId="18448" r:id="rId16" name="Drop Down 16">
              <controlPr locked="0" defaultSize="0" print="0" autoFill="0" autoLine="0" autoPict="0">
                <anchor moveWithCells="1">
                  <from>
                    <xdr:col>2</xdr:col>
                    <xdr:colOff>0</xdr:colOff>
                    <xdr:row>11</xdr:row>
                    <xdr:rowOff>19050</xdr:rowOff>
                  </from>
                  <to>
                    <xdr:col>6</xdr:col>
                    <xdr:colOff>0</xdr:colOff>
                    <xdr:row>12</xdr:row>
                    <xdr:rowOff>0</xdr:rowOff>
                  </to>
                </anchor>
              </controlPr>
            </control>
          </mc:Choice>
        </mc:AlternateContent>
        <mc:AlternateContent xmlns:mc="http://schemas.openxmlformats.org/markup-compatibility/2006">
          <mc:Choice Requires="x14">
            <control shapeId="18449" r:id="rId17" name="Drop Down 17">
              <controlPr locked="0" defaultSize="0" print="0" autoFill="0" autoLine="0" autoPict="0">
                <anchor moveWithCells="1">
                  <from>
                    <xdr:col>2</xdr:col>
                    <xdr:colOff>0</xdr:colOff>
                    <xdr:row>12</xdr:row>
                    <xdr:rowOff>19050</xdr:rowOff>
                  </from>
                  <to>
                    <xdr:col>6</xdr:col>
                    <xdr:colOff>9525</xdr:colOff>
                    <xdr:row>12</xdr:row>
                    <xdr:rowOff>238125</xdr:rowOff>
                  </to>
                </anchor>
              </controlPr>
            </control>
          </mc:Choice>
        </mc:AlternateContent>
        <mc:AlternateContent xmlns:mc="http://schemas.openxmlformats.org/markup-compatibility/2006">
          <mc:Choice Requires="x14">
            <control shapeId="18450" r:id="rId18" name="Drop Down 18">
              <controlPr locked="0" defaultSize="0" print="0" autoFill="0" autoLine="0" autoPict="0">
                <anchor moveWithCells="1">
                  <from>
                    <xdr:col>2</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18451" r:id="rId19" name="Drop Down 19">
              <controlPr locked="0" defaultSize="0" print="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18458" r:id="rId20" name="Drop Down 26">
              <controlPr locked="0" defaultSize="0" print="0" autoFill="0" autoLine="0" autoPict="0">
                <anchor moveWithCells="1">
                  <from>
                    <xdr:col>2</xdr:col>
                    <xdr:colOff>0</xdr:colOff>
                    <xdr:row>17</xdr:row>
                    <xdr:rowOff>266700</xdr:rowOff>
                  </from>
                  <to>
                    <xdr:col>6</xdr:col>
                    <xdr:colOff>9525</xdr:colOff>
                    <xdr:row>18</xdr:row>
                    <xdr:rowOff>209550</xdr:rowOff>
                  </to>
                </anchor>
              </controlPr>
            </control>
          </mc:Choice>
        </mc:AlternateContent>
        <mc:AlternateContent xmlns:mc="http://schemas.openxmlformats.org/markup-compatibility/2006">
          <mc:Choice Requires="x14">
            <control shapeId="18459" r:id="rId21" name="Drop Down 27">
              <controlPr locked="0" defaultSize="0" print="0" autoFill="0" autoLine="0" autoPict="0">
                <anchor moveWithCells="1">
                  <from>
                    <xdr:col>2</xdr:col>
                    <xdr:colOff>0</xdr:colOff>
                    <xdr:row>19</xdr:row>
                    <xdr:rowOff>38100</xdr:rowOff>
                  </from>
                  <to>
                    <xdr:col>6</xdr:col>
                    <xdr:colOff>0</xdr:colOff>
                    <xdr:row>20</xdr:row>
                    <xdr:rowOff>0</xdr:rowOff>
                  </to>
                </anchor>
              </controlPr>
            </control>
          </mc:Choice>
        </mc:AlternateContent>
        <mc:AlternateContent xmlns:mc="http://schemas.openxmlformats.org/markup-compatibility/2006">
          <mc:Choice Requires="x14">
            <control shapeId="18460" r:id="rId22" name="Drop Down 28">
              <controlPr locked="0" defaultSize="0" print="0" autoFill="0" autoLine="0" autoPict="0">
                <anchor moveWithCells="1">
                  <from>
                    <xdr:col>2</xdr:col>
                    <xdr:colOff>0</xdr:colOff>
                    <xdr:row>18</xdr:row>
                    <xdr:rowOff>57150</xdr:rowOff>
                  </from>
                  <to>
                    <xdr:col>6</xdr:col>
                    <xdr:colOff>0</xdr:colOff>
                    <xdr:row>19</xdr:row>
                    <xdr:rowOff>28575</xdr:rowOff>
                  </to>
                </anchor>
              </controlPr>
            </control>
          </mc:Choice>
        </mc:AlternateContent>
        <mc:AlternateContent xmlns:mc="http://schemas.openxmlformats.org/markup-compatibility/2006">
          <mc:Choice Requires="x14">
            <control shapeId="18461" r:id="rId23" name="Drop Down 29">
              <controlPr locked="0" defaultSize="0" print="0" autoFill="0" autoLine="0" autoPict="0">
                <anchor moveWithCells="1">
                  <from>
                    <xdr:col>2</xdr:col>
                    <xdr:colOff>0</xdr:colOff>
                    <xdr:row>17</xdr:row>
                    <xdr:rowOff>38100</xdr:rowOff>
                  </from>
                  <to>
                    <xdr:col>6</xdr:col>
                    <xdr:colOff>0</xdr:colOff>
                    <xdr:row>18</xdr:row>
                    <xdr:rowOff>28575</xdr:rowOff>
                  </to>
                </anchor>
              </controlPr>
            </control>
          </mc:Choice>
        </mc:AlternateContent>
        <mc:AlternateContent xmlns:mc="http://schemas.openxmlformats.org/markup-compatibility/2006">
          <mc:Choice Requires="x14">
            <control shapeId="18462" r:id="rId24" name="Spinner 30">
              <controlPr defaultSize="0" print="0" autoPict="0">
                <anchor moveWithCells="1" sizeWithCells="1">
                  <from>
                    <xdr:col>20</xdr:col>
                    <xdr:colOff>409575</xdr:colOff>
                    <xdr:row>4</xdr:row>
                    <xdr:rowOff>19050</xdr:rowOff>
                  </from>
                  <to>
                    <xdr:col>21</xdr:col>
                    <xdr:colOff>0</xdr:colOff>
                    <xdr:row>5</xdr:row>
                    <xdr:rowOff>9525</xdr:rowOff>
                  </to>
                </anchor>
              </controlPr>
            </control>
          </mc:Choice>
        </mc:AlternateContent>
        <mc:AlternateContent xmlns:mc="http://schemas.openxmlformats.org/markup-compatibility/2006">
          <mc:Choice Requires="x14">
            <control shapeId="18463" r:id="rId25"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6" name="Spinner 32">
              <controlPr defaultSize="0" print="0" autoPict="0">
                <anchor moveWithCells="1" sizeWithCells="1">
                  <from>
                    <xdr:col>20</xdr:col>
                    <xdr:colOff>409575</xdr:colOff>
                    <xdr:row>3</xdr:row>
                    <xdr:rowOff>0</xdr:rowOff>
                  </from>
                  <to>
                    <xdr:col>21</xdr:col>
                    <xdr:colOff>9525</xdr:colOff>
                    <xdr:row>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D9D9D9"/>
    <pageSetUpPr fitToPage="1"/>
  </sheetPr>
  <dimension ref="A1:H123"/>
  <sheetViews>
    <sheetView showGridLines="0" showRowColHeaders="0" workbookViewId="0">
      <selection activeCell="B5" sqref="B5"/>
    </sheetView>
  </sheetViews>
  <sheetFormatPr baseColWidth="10" defaultRowHeight="12.75" x14ac:dyDescent="0.2"/>
  <cols>
    <col min="1" max="1" width="3.5703125" style="1250" customWidth="1"/>
    <col min="2" max="2" width="52.5703125" style="1246" customWidth="1"/>
    <col min="3" max="16384" width="11.42578125" style="1246"/>
  </cols>
  <sheetData>
    <row r="1" spans="1:2" x14ac:dyDescent="0.2">
      <c r="A1" s="1250" t="s">
        <v>310</v>
      </c>
    </row>
    <row r="3" spans="1:2" x14ac:dyDescent="0.2">
      <c r="A3" s="1250" t="s">
        <v>311</v>
      </c>
    </row>
    <row r="4" spans="1:2" x14ac:dyDescent="0.2">
      <c r="B4" s="1245" t="s">
        <v>320</v>
      </c>
    </row>
    <row r="5" spans="1:2" x14ac:dyDescent="0.2">
      <c r="B5" s="1245" t="s">
        <v>315</v>
      </c>
    </row>
    <row r="6" spans="1:2" x14ac:dyDescent="0.2">
      <c r="B6" s="1245" t="s">
        <v>312</v>
      </c>
    </row>
    <row r="7" spans="1:2" x14ac:dyDescent="0.2">
      <c r="B7" s="1245" t="s">
        <v>314</v>
      </c>
    </row>
    <row r="8" spans="1:2" x14ac:dyDescent="0.2">
      <c r="B8" s="1245" t="s">
        <v>313</v>
      </c>
    </row>
    <row r="11" spans="1:2" x14ac:dyDescent="0.2">
      <c r="A11" s="1250" t="s">
        <v>316</v>
      </c>
    </row>
    <row r="12" spans="1:2" x14ac:dyDescent="0.2">
      <c r="B12" s="1245" t="s">
        <v>317</v>
      </c>
    </row>
    <row r="13" spans="1:2" x14ac:dyDescent="0.2">
      <c r="B13" s="1245" t="s">
        <v>318</v>
      </c>
    </row>
    <row r="14" spans="1:2" x14ac:dyDescent="0.2">
      <c r="B14" s="1245" t="s">
        <v>319</v>
      </c>
    </row>
    <row r="15" spans="1:2" x14ac:dyDescent="0.2">
      <c r="B15" s="1245" t="s">
        <v>334</v>
      </c>
    </row>
    <row r="16" spans="1:2" x14ac:dyDescent="0.2">
      <c r="B16" s="1245"/>
    </row>
    <row r="17" spans="1:5" x14ac:dyDescent="0.2">
      <c r="B17" s="1245"/>
    </row>
    <row r="19" spans="1:5" x14ac:dyDescent="0.2">
      <c r="A19" s="1250" t="s">
        <v>321</v>
      </c>
    </row>
    <row r="20" spans="1:5" x14ac:dyDescent="0.2">
      <c r="B20" s="1245" t="s">
        <v>343</v>
      </c>
    </row>
    <row r="21" spans="1:5" x14ac:dyDescent="0.2">
      <c r="B21" s="1245" t="s">
        <v>323</v>
      </c>
      <c r="C21" s="1266" t="s">
        <v>342</v>
      </c>
    </row>
    <row r="22" spans="1:5" x14ac:dyDescent="0.2">
      <c r="B22" s="1245" t="s">
        <v>322</v>
      </c>
    </row>
    <row r="23" spans="1:5" x14ac:dyDescent="0.2">
      <c r="B23" s="1245" t="s">
        <v>324</v>
      </c>
      <c r="C23" s="1245" t="s">
        <v>326</v>
      </c>
    </row>
    <row r="24" spans="1:5" x14ac:dyDescent="0.2">
      <c r="B24" s="1245"/>
      <c r="C24" s="1245" t="s">
        <v>341</v>
      </c>
    </row>
    <row r="25" spans="1:5" x14ac:dyDescent="0.2">
      <c r="B25" s="1245"/>
    </row>
    <row r="26" spans="1:5" x14ac:dyDescent="0.2">
      <c r="B26" s="1245" t="s">
        <v>325</v>
      </c>
      <c r="C26" s="1245" t="s">
        <v>327</v>
      </c>
    </row>
    <row r="27" spans="1:5" x14ac:dyDescent="0.2">
      <c r="B27" s="1245"/>
    </row>
    <row r="28" spans="1:5" x14ac:dyDescent="0.2">
      <c r="B28" s="1245" t="s">
        <v>335</v>
      </c>
      <c r="C28" s="1245" t="s">
        <v>336</v>
      </c>
    </row>
    <row r="29" spans="1:5" ht="14.25" x14ac:dyDescent="0.2">
      <c r="B29" s="1261"/>
      <c r="C29" s="1261"/>
      <c r="D29" s="1261"/>
      <c r="E29" s="1261"/>
    </row>
    <row r="30" spans="1:5" ht="14.25" x14ac:dyDescent="0.2">
      <c r="B30" s="1245" t="s">
        <v>337</v>
      </c>
      <c r="C30" s="1245" t="s">
        <v>336</v>
      </c>
      <c r="D30" s="1261"/>
    </row>
    <row r="31" spans="1:5" ht="14.25" x14ac:dyDescent="0.2">
      <c r="B31" s="1245"/>
      <c r="C31" s="1245"/>
      <c r="D31" s="1261"/>
    </row>
    <row r="32" spans="1:5" ht="14.25" x14ac:dyDescent="0.2">
      <c r="B32" s="1245"/>
      <c r="C32" s="1245"/>
      <c r="D32" s="1261"/>
    </row>
    <row r="33" spans="1:8" ht="14.25" x14ac:dyDescent="0.2">
      <c r="B33" s="1245"/>
      <c r="C33" s="1245"/>
      <c r="D33" s="1261"/>
    </row>
    <row r="34" spans="1:8" ht="14.25" x14ac:dyDescent="0.2">
      <c r="B34" s="1245"/>
      <c r="C34" s="1245"/>
      <c r="D34" s="1261"/>
    </row>
    <row r="35" spans="1:8" ht="14.25" x14ac:dyDescent="0.2">
      <c r="B35" s="1245"/>
      <c r="C35" s="1245"/>
      <c r="D35" s="1261"/>
    </row>
    <row r="36" spans="1:8" ht="14.25" x14ac:dyDescent="0.2">
      <c r="B36" s="1245"/>
      <c r="C36" s="1245"/>
      <c r="D36" s="1261"/>
    </row>
    <row r="37" spans="1:8" ht="14.25" x14ac:dyDescent="0.2">
      <c r="B37" s="1261"/>
    </row>
    <row r="39" spans="1:8" x14ac:dyDescent="0.2">
      <c r="A39" s="1250" t="s">
        <v>340</v>
      </c>
    </row>
    <row r="40" spans="1:8" ht="14.25" x14ac:dyDescent="0.2">
      <c r="B40" s="1261"/>
    </row>
    <row r="41" spans="1:8" ht="14.25" x14ac:dyDescent="0.2">
      <c r="B41" s="1261" t="s">
        <v>344</v>
      </c>
    </row>
    <row r="42" spans="1:8" ht="14.25" x14ac:dyDescent="0.2">
      <c r="B42" s="1261" t="s">
        <v>368</v>
      </c>
    </row>
    <row r="43" spans="1:8" x14ac:dyDescent="0.2">
      <c r="B43" s="1262" t="s">
        <v>306</v>
      </c>
      <c r="C43" s="1263"/>
      <c r="D43" s="1263"/>
      <c r="E43" s="1263"/>
      <c r="F43" s="1263"/>
      <c r="G43" s="1263"/>
      <c r="H43" s="1263"/>
    </row>
    <row r="44" spans="1:8" x14ac:dyDescent="0.2">
      <c r="B44" s="562" t="s">
        <v>354</v>
      </c>
      <c r="C44" s="1263"/>
      <c r="D44" s="1263"/>
      <c r="E44" s="1263"/>
      <c r="F44" s="1263"/>
      <c r="G44" s="1263"/>
      <c r="H44" s="1263"/>
    </row>
    <row r="45" spans="1:8" ht="14.25" x14ac:dyDescent="0.2">
      <c r="B45" s="1263" t="s">
        <v>307</v>
      </c>
      <c r="C45" s="1264" t="s">
        <v>77</v>
      </c>
      <c r="D45" s="1263">
        <v>11.873799999999999</v>
      </c>
      <c r="E45" s="1263"/>
      <c r="F45" s="1263" t="s">
        <v>353</v>
      </c>
      <c r="G45" s="1263"/>
      <c r="H45" s="1263"/>
    </row>
    <row r="46" spans="1:8" ht="14.25" x14ac:dyDescent="0.2">
      <c r="B46" s="1263"/>
      <c r="C46" s="1264" t="s">
        <v>305</v>
      </c>
      <c r="D46" s="1263">
        <v>2.32E-3</v>
      </c>
      <c r="E46" s="1263"/>
      <c r="F46" s="1263"/>
      <c r="G46" s="1263"/>
      <c r="H46" s="1263"/>
    </row>
    <row r="47" spans="1:8" ht="14.25" x14ac:dyDescent="0.2">
      <c r="B47" s="1263" t="s">
        <v>308</v>
      </c>
      <c r="C47" s="1264" t="s">
        <v>77</v>
      </c>
      <c r="D47" s="1263">
        <v>21.155999999999999</v>
      </c>
      <c r="E47" s="1263"/>
      <c r="F47" s="1263" t="s">
        <v>353</v>
      </c>
      <c r="G47" s="1263"/>
      <c r="H47" s="1263"/>
    </row>
    <row r="48" spans="1:8" ht="14.25" x14ac:dyDescent="0.2">
      <c r="B48" s="1263"/>
      <c r="C48" s="1264" t="s">
        <v>305</v>
      </c>
      <c r="D48" s="1263">
        <v>6.4999999999999997E-4</v>
      </c>
      <c r="E48" s="1263"/>
      <c r="F48" s="1263"/>
      <c r="G48" s="1263"/>
      <c r="H48" s="1263"/>
    </row>
    <row r="49" spans="2:8" x14ac:dyDescent="0.2">
      <c r="B49" s="1263" t="s">
        <v>309</v>
      </c>
      <c r="C49" s="1263" t="s">
        <v>77</v>
      </c>
      <c r="D49" s="1263">
        <v>12.088200000000001</v>
      </c>
      <c r="E49" s="1263"/>
      <c r="F49" s="1263" t="s">
        <v>353</v>
      </c>
      <c r="G49" s="1263"/>
      <c r="H49" s="1263"/>
    </row>
    <row r="50" spans="2:8" x14ac:dyDescent="0.2">
      <c r="B50" s="1263"/>
      <c r="C50" s="1263" t="s">
        <v>305</v>
      </c>
      <c r="D50" s="1263">
        <v>2.48E-3</v>
      </c>
      <c r="E50" s="1263"/>
      <c r="F50" s="1263"/>
      <c r="G50" s="1263"/>
      <c r="H50" s="1263"/>
    </row>
    <row r="51" spans="2:8" x14ac:dyDescent="0.2">
      <c r="B51" s="1263"/>
      <c r="C51" s="1263"/>
      <c r="D51" s="1263"/>
      <c r="E51" s="1263"/>
      <c r="F51" s="1263"/>
      <c r="G51" s="1263"/>
      <c r="H51" s="1263"/>
    </row>
    <row r="52" spans="2:8" x14ac:dyDescent="0.2">
      <c r="B52" s="1262" t="s">
        <v>14</v>
      </c>
      <c r="C52" s="1263"/>
      <c r="D52" s="1263"/>
      <c r="E52" s="1263"/>
      <c r="F52" s="1263"/>
      <c r="G52" s="1263"/>
      <c r="H52" s="1263"/>
    </row>
    <row r="53" spans="2:8" x14ac:dyDescent="0.2">
      <c r="B53" s="1263" t="s">
        <v>307</v>
      </c>
      <c r="C53" s="1263" t="s">
        <v>350</v>
      </c>
      <c r="D53" s="1263" t="s">
        <v>365</v>
      </c>
      <c r="E53" s="1263"/>
      <c r="F53" s="1263"/>
      <c r="G53" s="1263"/>
      <c r="H53" s="1263"/>
    </row>
    <row r="54" spans="2:8" ht="14.25" x14ac:dyDescent="0.2">
      <c r="B54" s="1263"/>
      <c r="C54" s="1264" t="s">
        <v>77</v>
      </c>
      <c r="D54" s="1263">
        <v>369</v>
      </c>
      <c r="E54" s="1263"/>
      <c r="F54" s="1263" t="s">
        <v>351</v>
      </c>
      <c r="G54" s="1263" t="s">
        <v>345</v>
      </c>
      <c r="H54" s="1263"/>
    </row>
    <row r="55" spans="2:8" ht="14.25" x14ac:dyDescent="0.2">
      <c r="B55" s="1263"/>
      <c r="C55" s="1264" t="s">
        <v>305</v>
      </c>
      <c r="D55" s="1263">
        <v>0.249</v>
      </c>
      <c r="E55" s="1263"/>
      <c r="F55" s="1263"/>
      <c r="G55" s="1263"/>
      <c r="H55" s="1263"/>
    </row>
    <row r="56" spans="2:8" ht="14.25" x14ac:dyDescent="0.2">
      <c r="B56" s="1263"/>
      <c r="C56" s="1264" t="s">
        <v>346</v>
      </c>
      <c r="D56" s="1263">
        <v>-4.0000000000000002E-4</v>
      </c>
      <c r="E56" s="1263"/>
      <c r="F56" s="1263"/>
      <c r="G56" s="1263"/>
      <c r="H56" s="1263"/>
    </row>
    <row r="57" spans="2:8" x14ac:dyDescent="0.2">
      <c r="B57" s="1263" t="s">
        <v>308</v>
      </c>
      <c r="C57" s="562" t="s">
        <v>352</v>
      </c>
      <c r="D57" s="1263" t="s">
        <v>366</v>
      </c>
      <c r="E57" s="1263"/>
      <c r="F57" s="1263"/>
      <c r="G57" s="1263"/>
      <c r="H57" s="1263"/>
    </row>
    <row r="58" spans="2:8" ht="14.25" x14ac:dyDescent="0.2">
      <c r="B58" s="1263"/>
      <c r="C58" s="1264" t="s">
        <v>77</v>
      </c>
      <c r="D58" s="1263">
        <v>193.39699999999999</v>
      </c>
      <c r="E58" s="1263"/>
      <c r="F58" s="1263" t="s">
        <v>351</v>
      </c>
      <c r="G58" s="1263" t="s">
        <v>345</v>
      </c>
      <c r="H58" s="1263"/>
    </row>
    <row r="59" spans="2:8" ht="14.25" x14ac:dyDescent="0.2">
      <c r="B59" s="1263"/>
      <c r="C59" s="1264" t="s">
        <v>305</v>
      </c>
      <c r="D59" s="1263">
        <v>0.14349999999999999</v>
      </c>
      <c r="E59" s="1263"/>
      <c r="F59" s="1263"/>
      <c r="G59" s="1263"/>
      <c r="H59" s="1263"/>
    </row>
    <row r="60" spans="2:8" ht="14.25" x14ac:dyDescent="0.2">
      <c r="B60" s="1263"/>
      <c r="C60" s="1264" t="s">
        <v>346</v>
      </c>
      <c r="D60" s="1263"/>
      <c r="E60" s="1263"/>
      <c r="F60" s="1263"/>
      <c r="G60" s="1263"/>
      <c r="H60" s="1263"/>
    </row>
    <row r="61" spans="2:8" x14ac:dyDescent="0.2">
      <c r="B61" s="1263" t="s">
        <v>309</v>
      </c>
      <c r="C61" s="1263" t="s">
        <v>350</v>
      </c>
      <c r="D61" s="1263" t="s">
        <v>364</v>
      </c>
      <c r="E61" s="1263"/>
      <c r="F61" s="1263"/>
      <c r="G61" s="1263"/>
      <c r="H61" s="1263"/>
    </row>
    <row r="62" spans="2:8" x14ac:dyDescent="0.2">
      <c r="B62" s="562"/>
      <c r="C62" s="1263" t="s">
        <v>77</v>
      </c>
      <c r="D62" s="1263">
        <v>263.89999999999998</v>
      </c>
      <c r="E62" s="1263"/>
      <c r="F62" s="1263" t="s">
        <v>351</v>
      </c>
      <c r="G62" s="1263" t="s">
        <v>345</v>
      </c>
      <c r="H62" s="1263"/>
    </row>
    <row r="63" spans="2:8" x14ac:dyDescent="0.2">
      <c r="B63" s="562"/>
      <c r="C63" s="1263" t="s">
        <v>305</v>
      </c>
      <c r="D63" s="1263">
        <v>0.49199999999999999</v>
      </c>
      <c r="E63" s="1263"/>
      <c r="F63" s="1263"/>
      <c r="G63" s="1263"/>
      <c r="H63" s="1263"/>
    </row>
    <row r="64" spans="2:8" x14ac:dyDescent="0.2">
      <c r="B64" s="562"/>
      <c r="C64" s="562" t="s">
        <v>346</v>
      </c>
      <c r="D64" s="1263">
        <v>-1.0300000000000001E-3</v>
      </c>
      <c r="E64" s="1263"/>
      <c r="F64" s="1263"/>
      <c r="G64" s="1263"/>
      <c r="H64" s="1263"/>
    </row>
    <row r="65" spans="2:8" x14ac:dyDescent="0.2">
      <c r="B65" s="562"/>
      <c r="C65" s="562"/>
      <c r="D65" s="1263"/>
      <c r="E65" s="1263"/>
      <c r="F65" s="1263"/>
      <c r="G65" s="1263"/>
      <c r="H65" s="1263"/>
    </row>
    <row r="66" spans="2:8" x14ac:dyDescent="0.2">
      <c r="B66" s="1262" t="s">
        <v>363</v>
      </c>
      <c r="C66" s="1263"/>
      <c r="D66" s="1263"/>
      <c r="E66" s="1263"/>
      <c r="F66" s="1263"/>
      <c r="G66" s="1263"/>
      <c r="H66" s="1263"/>
    </row>
    <row r="67" spans="2:8" x14ac:dyDescent="0.2">
      <c r="B67" s="562" t="s">
        <v>362</v>
      </c>
      <c r="C67" s="1263"/>
      <c r="D67" s="1263"/>
      <c r="E67" s="1263"/>
      <c r="F67" s="1263"/>
      <c r="G67" s="1263"/>
      <c r="H67" s="1263"/>
    </row>
    <row r="68" spans="2:8" ht="14.25" x14ac:dyDescent="0.2">
      <c r="B68" s="1263" t="s">
        <v>40</v>
      </c>
      <c r="C68" s="1264" t="s">
        <v>77</v>
      </c>
      <c r="D68" s="1263">
        <v>2.12E-2</v>
      </c>
      <c r="E68" s="1263"/>
      <c r="F68" s="1263" t="s">
        <v>357</v>
      </c>
      <c r="G68" s="1263"/>
      <c r="H68" s="1263"/>
    </row>
    <row r="69" spans="2:8" ht="14.25" x14ac:dyDescent="0.2">
      <c r="B69" s="1263"/>
      <c r="C69" s="1264" t="s">
        <v>305</v>
      </c>
      <c r="D69" s="1263">
        <v>5.8</v>
      </c>
      <c r="E69" s="1263"/>
      <c r="F69" s="1263"/>
      <c r="G69" s="1263"/>
      <c r="H69" s="1263"/>
    </row>
    <row r="70" spans="2:8" ht="14.25" x14ac:dyDescent="0.2">
      <c r="B70" s="1263" t="s">
        <v>41</v>
      </c>
      <c r="C70" s="1264" t="s">
        <v>77</v>
      </c>
      <c r="D70" s="1263">
        <v>9.4999999999999998E-3</v>
      </c>
      <c r="E70" s="1263"/>
      <c r="F70" s="1263" t="s">
        <v>353</v>
      </c>
      <c r="G70" s="1263"/>
      <c r="H70" s="1263"/>
    </row>
    <row r="71" spans="2:8" ht="14.25" x14ac:dyDescent="0.2">
      <c r="B71" s="1263"/>
      <c r="C71" s="1264" t="s">
        <v>305</v>
      </c>
      <c r="D71" s="1263">
        <v>1.3</v>
      </c>
      <c r="E71" s="1263"/>
      <c r="F71" s="1263"/>
      <c r="G71" s="1263"/>
      <c r="H71" s="1263"/>
    </row>
    <row r="72" spans="2:8" x14ac:dyDescent="0.2">
      <c r="B72" s="1263" t="s">
        <v>43</v>
      </c>
      <c r="C72" s="1263" t="s">
        <v>77</v>
      </c>
      <c r="D72" s="1263">
        <v>2.3999999999999998E-3</v>
      </c>
      <c r="E72" s="1263"/>
      <c r="F72" s="1263" t="s">
        <v>353</v>
      </c>
      <c r="G72" s="1263"/>
      <c r="H72" s="1263"/>
    </row>
    <row r="73" spans="2:8" x14ac:dyDescent="0.2">
      <c r="B73" s="1263"/>
      <c r="C73" s="1263" t="s">
        <v>305</v>
      </c>
      <c r="D73" s="1263">
        <v>0.1</v>
      </c>
      <c r="E73" s="1263"/>
      <c r="F73" s="1263"/>
      <c r="G73" s="1263"/>
      <c r="H73" s="1263"/>
    </row>
    <row r="74" spans="2:8" x14ac:dyDescent="0.2">
      <c r="B74" s="562"/>
      <c r="C74" s="562"/>
      <c r="D74" s="562"/>
      <c r="E74" s="562"/>
      <c r="F74" s="562"/>
      <c r="G74" s="562"/>
      <c r="H74" s="562"/>
    </row>
    <row r="75" spans="2:8" x14ac:dyDescent="0.2">
      <c r="B75" s="562"/>
      <c r="C75" s="562"/>
      <c r="D75" s="562"/>
      <c r="E75" s="562"/>
      <c r="F75" s="562"/>
      <c r="G75" s="562"/>
      <c r="H75" s="562"/>
    </row>
    <row r="76" spans="2:8" x14ac:dyDescent="0.2">
      <c r="B76" s="1263" t="s">
        <v>42</v>
      </c>
      <c r="C76" s="1263" t="s">
        <v>77</v>
      </c>
      <c r="D76" s="1263">
        <v>1.6999999999999999E-3</v>
      </c>
      <c r="E76" s="1263"/>
      <c r="F76" s="1263" t="s">
        <v>353</v>
      </c>
      <c r="G76" s="1263"/>
      <c r="H76" s="562"/>
    </row>
    <row r="77" spans="2:8" x14ac:dyDescent="0.2">
      <c r="B77" s="1263"/>
      <c r="C77" s="1263" t="s">
        <v>305</v>
      </c>
      <c r="D77" s="1263">
        <v>0</v>
      </c>
      <c r="E77" s="1263"/>
      <c r="F77" s="1263"/>
      <c r="G77" s="1263"/>
      <c r="H77" s="562"/>
    </row>
    <row r="78" spans="2:8" x14ac:dyDescent="0.2">
      <c r="B78" s="562"/>
      <c r="C78" s="562"/>
      <c r="D78" s="562"/>
      <c r="E78" s="562"/>
      <c r="F78" s="562"/>
      <c r="G78" s="562"/>
      <c r="H78" s="562"/>
    </row>
    <row r="79" spans="2:8" x14ac:dyDescent="0.2">
      <c r="B79" s="1265"/>
    </row>
    <row r="80" spans="2:8" ht="14.25" x14ac:dyDescent="0.2">
      <c r="B80" s="1261"/>
    </row>
    <row r="81" spans="2:2" ht="14.25" x14ac:dyDescent="0.2">
      <c r="B81" s="1261"/>
    </row>
    <row r="82" spans="2:2" x14ac:dyDescent="0.2">
      <c r="B82" s="1265"/>
    </row>
    <row r="83" spans="2:2" ht="14.25" x14ac:dyDescent="0.2">
      <c r="B83" s="1261"/>
    </row>
    <row r="84" spans="2:2" ht="14.25" x14ac:dyDescent="0.2">
      <c r="B84" s="1261"/>
    </row>
    <row r="85" spans="2:2" ht="14.25" x14ac:dyDescent="0.2">
      <c r="B85" s="1261"/>
    </row>
    <row r="86" spans="2:2" x14ac:dyDescent="0.2">
      <c r="B86" s="1265"/>
    </row>
    <row r="87" spans="2:2" ht="14.25" x14ac:dyDescent="0.2">
      <c r="B87" s="1261"/>
    </row>
    <row r="88" spans="2:2" ht="14.25" x14ac:dyDescent="0.2">
      <c r="B88" s="1261"/>
    </row>
    <row r="89" spans="2:2" x14ac:dyDescent="0.2">
      <c r="B89" s="1265"/>
    </row>
    <row r="90" spans="2:2" ht="14.25" x14ac:dyDescent="0.2">
      <c r="B90" s="1261"/>
    </row>
    <row r="91" spans="2:2" ht="14.25" x14ac:dyDescent="0.2">
      <c r="B91" s="1261"/>
    </row>
    <row r="92" spans="2:2" x14ac:dyDescent="0.2">
      <c r="B92" s="1265"/>
    </row>
    <row r="93" spans="2:2" ht="14.25" x14ac:dyDescent="0.2">
      <c r="B93" s="1261"/>
    </row>
    <row r="94" spans="2:2" ht="14.25" x14ac:dyDescent="0.2">
      <c r="B94" s="1261"/>
    </row>
    <row r="95" spans="2:2" x14ac:dyDescent="0.2">
      <c r="B95" s="1265"/>
    </row>
    <row r="96" spans="2:2" ht="14.25" x14ac:dyDescent="0.2">
      <c r="B96" s="1261"/>
    </row>
    <row r="97" spans="2:2" ht="14.25" x14ac:dyDescent="0.2">
      <c r="B97" s="1261"/>
    </row>
    <row r="98" spans="2:2" x14ac:dyDescent="0.2">
      <c r="B98" s="1265"/>
    </row>
    <row r="99" spans="2:2" ht="14.25" x14ac:dyDescent="0.2">
      <c r="B99" s="1261"/>
    </row>
    <row r="100" spans="2:2" ht="14.25" x14ac:dyDescent="0.2">
      <c r="B100" s="1261"/>
    </row>
    <row r="101" spans="2:2" ht="14.25" x14ac:dyDescent="0.2">
      <c r="B101" s="1261"/>
    </row>
    <row r="102" spans="2:2" ht="14.25" x14ac:dyDescent="0.2">
      <c r="B102" s="1261"/>
    </row>
    <row r="103" spans="2:2" ht="14.25" x14ac:dyDescent="0.2">
      <c r="B103" s="1261"/>
    </row>
    <row r="104" spans="2:2" ht="14.25" x14ac:dyDescent="0.2">
      <c r="B104" s="1261"/>
    </row>
    <row r="105" spans="2:2" ht="14.25" x14ac:dyDescent="0.2">
      <c r="B105" s="1261"/>
    </row>
    <row r="106" spans="2:2" ht="14.25" x14ac:dyDescent="0.2">
      <c r="B106" s="1261"/>
    </row>
    <row r="107" spans="2:2" ht="14.25" x14ac:dyDescent="0.2">
      <c r="B107" s="1261"/>
    </row>
    <row r="108" spans="2:2" ht="14.25" x14ac:dyDescent="0.2">
      <c r="B108" s="1261"/>
    </row>
    <row r="109" spans="2:2" ht="14.25" x14ac:dyDescent="0.2">
      <c r="B109" s="1261"/>
    </row>
    <row r="110" spans="2:2" ht="14.25" x14ac:dyDescent="0.2">
      <c r="B110" s="1261"/>
    </row>
    <row r="111" spans="2:2" ht="14.25" x14ac:dyDescent="0.2">
      <c r="B111" s="1261"/>
    </row>
    <row r="112" spans="2:2" ht="14.25" x14ac:dyDescent="0.2">
      <c r="B112" s="1261"/>
    </row>
    <row r="113" spans="2:2" x14ac:dyDescent="0.2">
      <c r="B113" s="1265"/>
    </row>
    <row r="114" spans="2:2" ht="14.25" x14ac:dyDescent="0.2">
      <c r="B114" s="1261"/>
    </row>
    <row r="115" spans="2:2" x14ac:dyDescent="0.2">
      <c r="B115" s="1265"/>
    </row>
    <row r="116" spans="2:2" ht="14.25" x14ac:dyDescent="0.2">
      <c r="B116" s="1261"/>
    </row>
    <row r="117" spans="2:2" x14ac:dyDescent="0.2">
      <c r="B117" s="1265"/>
    </row>
    <row r="118" spans="2:2" ht="14.25" x14ac:dyDescent="0.2">
      <c r="B118" s="1261"/>
    </row>
    <row r="119" spans="2:2" x14ac:dyDescent="0.2">
      <c r="B119" s="1265"/>
    </row>
    <row r="120" spans="2:2" ht="14.25" x14ac:dyDescent="0.2">
      <c r="B120" s="1261"/>
    </row>
    <row r="121" spans="2:2" x14ac:dyDescent="0.2">
      <c r="B121" s="1265"/>
    </row>
    <row r="122" spans="2:2" ht="14.25" x14ac:dyDescent="0.2">
      <c r="B122" s="1261"/>
    </row>
    <row r="123" spans="2:2" x14ac:dyDescent="0.2">
      <c r="B123" s="1265"/>
    </row>
  </sheetData>
  <sheetProtection password="ECA3" sheet="1" objects="1" scenarios="1"/>
  <sortState ref="B4:B8">
    <sortCondition ref="B4"/>
  </sortState>
  <customSheetViews>
    <customSheetView guid="{117F828A-4542-4D18-9CDB-B606529AAD66}" showGridLines="0" showRowCol="0" fitToPage="1">
      <selection activeCell="D33" sqref="D33"/>
      <pageMargins left="0.25" right="0.25" top="0.75" bottom="0.75" header="0.3" footer="0.3"/>
      <pageSetup paperSize="9" scale="47" orientation="landscape" verticalDpi="0" r:id="rId1"/>
    </customSheetView>
  </customSheetViews>
  <pageMargins left="0.25" right="0.25" top="0.75" bottom="0.75" header="0.3" footer="0.3"/>
  <pageSetup paperSize="9" scale="47" orientation="landscape"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D9D9D9"/>
  </sheetPr>
  <dimension ref="A1:F27"/>
  <sheetViews>
    <sheetView showGridLines="0" showRowColHeaders="0" workbookViewId="0">
      <selection activeCell="B5" sqref="B5"/>
    </sheetView>
  </sheetViews>
  <sheetFormatPr baseColWidth="10" defaultRowHeight="12.75" x14ac:dyDescent="0.2"/>
  <cols>
    <col min="1" max="1" width="13.85546875" style="1246" bestFit="1" customWidth="1"/>
    <col min="2" max="2" width="36.42578125" style="1246" bestFit="1" customWidth="1"/>
    <col min="3" max="4" width="7.85546875" style="1246" customWidth="1"/>
    <col min="5" max="6" width="7.85546875" style="1247" customWidth="1"/>
    <col min="7" max="16384" width="11.42578125" style="1246"/>
  </cols>
  <sheetData>
    <row r="1" spans="1:6" ht="15.75" x14ac:dyDescent="0.25">
      <c r="A1" s="1251" t="s">
        <v>385</v>
      </c>
      <c r="C1" s="1247"/>
      <c r="D1" s="1247"/>
    </row>
    <row r="2" spans="1:6" x14ac:dyDescent="0.2">
      <c r="C2" s="1247"/>
      <c r="D2" s="1247"/>
      <c r="E2" s="1252" t="s">
        <v>386</v>
      </c>
      <c r="F2" s="1252" t="s">
        <v>387</v>
      </c>
    </row>
    <row r="3" spans="1:6" ht="21" customHeight="1" x14ac:dyDescent="0.2">
      <c r="A3" s="1245" t="s">
        <v>294</v>
      </c>
      <c r="B3" s="1245" t="s">
        <v>388</v>
      </c>
      <c r="C3" s="1248"/>
      <c r="D3" s="1248"/>
      <c r="E3" s="1257">
        <v>0.9</v>
      </c>
      <c r="F3" s="1257">
        <v>1.1000000000000001</v>
      </c>
    </row>
    <row r="4" spans="1:6" ht="21" customHeight="1" x14ac:dyDescent="0.2">
      <c r="A4" s="1245" t="s">
        <v>13</v>
      </c>
      <c r="C4" s="1247"/>
      <c r="D4" s="1247"/>
      <c r="E4" s="1257">
        <v>0.95</v>
      </c>
      <c r="F4" s="1257">
        <v>1.05</v>
      </c>
    </row>
    <row r="5" spans="1:6" ht="21" customHeight="1" x14ac:dyDescent="0.2">
      <c r="A5" s="1245" t="s">
        <v>74</v>
      </c>
      <c r="C5" s="1247"/>
      <c r="D5" s="1247"/>
      <c r="E5" s="1257">
        <v>0.95</v>
      </c>
      <c r="F5" s="1257">
        <v>1.05</v>
      </c>
    </row>
    <row r="6" spans="1:6" ht="21" customHeight="1" x14ac:dyDescent="0.2">
      <c r="A6" s="1245" t="s">
        <v>14</v>
      </c>
      <c r="C6" s="1247"/>
      <c r="D6" s="1247"/>
      <c r="E6" s="1257">
        <v>0.9</v>
      </c>
      <c r="F6" s="1257">
        <v>1.1000000000000001</v>
      </c>
    </row>
    <row r="7" spans="1:6" ht="21" customHeight="1" x14ac:dyDescent="0.2">
      <c r="A7" s="1245" t="s">
        <v>75</v>
      </c>
      <c r="C7" s="1247"/>
      <c r="D7" s="1247"/>
      <c r="E7" s="1257">
        <v>0.9</v>
      </c>
      <c r="F7" s="1257">
        <v>1.1000000000000001</v>
      </c>
    </row>
    <row r="8" spans="1:6" ht="21" customHeight="1" x14ac:dyDescent="0.2">
      <c r="A8" s="1245" t="s">
        <v>15</v>
      </c>
      <c r="B8" s="1245" t="s">
        <v>389</v>
      </c>
      <c r="C8" s="1248"/>
      <c r="D8" s="1248"/>
      <c r="E8" s="1258">
        <v>-20</v>
      </c>
      <c r="F8" s="1258">
        <v>50</v>
      </c>
    </row>
    <row r="9" spans="1:6" ht="21" customHeight="1" x14ac:dyDescent="0.2">
      <c r="A9" s="1245" t="s">
        <v>220</v>
      </c>
      <c r="B9" s="1245" t="s">
        <v>389</v>
      </c>
      <c r="C9" s="1248"/>
      <c r="D9" s="1248"/>
      <c r="E9" s="1258"/>
      <c r="F9" s="1259">
        <v>400</v>
      </c>
    </row>
    <row r="10" spans="1:6" ht="21" customHeight="1" x14ac:dyDescent="0.2">
      <c r="A10" s="1245" t="s">
        <v>20</v>
      </c>
      <c r="B10" s="1245" t="s">
        <v>390</v>
      </c>
      <c r="C10" s="1248"/>
      <c r="D10" s="1248"/>
      <c r="E10" s="1258">
        <v>1.2</v>
      </c>
      <c r="F10" s="1258"/>
    </row>
    <row r="11" spans="1:6" ht="21" customHeight="1" x14ac:dyDescent="0.2">
      <c r="A11" s="1245" t="s">
        <v>21</v>
      </c>
      <c r="B11" s="1245" t="s">
        <v>389</v>
      </c>
      <c r="C11" s="1248"/>
      <c r="D11" s="1248"/>
      <c r="E11" s="1258">
        <v>200</v>
      </c>
      <c r="F11" s="1258"/>
    </row>
    <row r="12" spans="1:6" ht="21" customHeight="1" x14ac:dyDescent="0.2">
      <c r="A12" s="1245" t="s">
        <v>22</v>
      </c>
      <c r="B12" s="1245" t="s">
        <v>389</v>
      </c>
      <c r="C12" s="1248"/>
      <c r="D12" s="1248"/>
      <c r="E12" s="1258">
        <v>300</v>
      </c>
      <c r="F12" s="1258"/>
    </row>
    <row r="13" spans="1:6" ht="21" customHeight="1" x14ac:dyDescent="0.2">
      <c r="A13" s="1245" t="s">
        <v>17</v>
      </c>
      <c r="B13" s="1245" t="s">
        <v>389</v>
      </c>
      <c r="C13" s="1248"/>
      <c r="D13" s="1248"/>
      <c r="E13" s="1258"/>
      <c r="F13" s="1258">
        <v>350</v>
      </c>
    </row>
    <row r="14" spans="1:6" ht="21" customHeight="1" x14ac:dyDescent="0.2">
      <c r="A14" s="1245" t="s">
        <v>16</v>
      </c>
      <c r="B14" s="1245" t="s">
        <v>389</v>
      </c>
      <c r="C14" s="1248"/>
      <c r="D14" s="1248"/>
      <c r="E14" s="1258"/>
      <c r="F14" s="1258">
        <v>100</v>
      </c>
    </row>
    <row r="15" spans="1:6" ht="21" customHeight="1" x14ac:dyDescent="0.2">
      <c r="A15" s="1245" t="s">
        <v>161</v>
      </c>
      <c r="B15" s="1245" t="s">
        <v>389</v>
      </c>
      <c r="C15" s="1248"/>
      <c r="D15" s="1248"/>
      <c r="E15" s="1258"/>
      <c r="F15" s="1258">
        <v>40</v>
      </c>
    </row>
    <row r="16" spans="1:6" ht="21" customHeight="1" x14ac:dyDescent="0.2">
      <c r="A16" s="1245" t="s">
        <v>18</v>
      </c>
      <c r="B16" s="1245" t="s">
        <v>389</v>
      </c>
      <c r="C16" s="1248"/>
      <c r="D16" s="1248"/>
      <c r="E16" s="1258">
        <v>160</v>
      </c>
      <c r="F16" s="1258"/>
    </row>
    <row r="17" spans="1:6" ht="21" customHeight="1" x14ac:dyDescent="0.2">
      <c r="A17" s="1245" t="s">
        <v>19</v>
      </c>
      <c r="B17" s="1245" t="s">
        <v>389</v>
      </c>
      <c r="C17" s="1248"/>
      <c r="D17" s="1248"/>
      <c r="E17" s="1258">
        <v>100</v>
      </c>
      <c r="F17" s="1258"/>
    </row>
    <row r="18" spans="1:6" ht="26.25" customHeight="1" x14ac:dyDescent="0.2">
      <c r="A18" s="1245"/>
      <c r="B18" s="1245"/>
      <c r="C18" s="1253" t="s">
        <v>431</v>
      </c>
      <c r="D18" s="1253" t="s">
        <v>25</v>
      </c>
      <c r="E18" s="1255"/>
      <c r="F18" s="1256"/>
    </row>
    <row r="19" spans="1:6" ht="21" customHeight="1" x14ac:dyDescent="0.2">
      <c r="A19" s="1245" t="s">
        <v>40</v>
      </c>
      <c r="B19" s="1245" t="s">
        <v>398</v>
      </c>
      <c r="C19" s="1260">
        <v>2</v>
      </c>
      <c r="D19" s="1260">
        <v>2.5</v>
      </c>
      <c r="E19" s="1257">
        <v>0.98</v>
      </c>
      <c r="F19" s="1257">
        <v>1.5</v>
      </c>
    </row>
    <row r="20" spans="1:6" ht="21" customHeight="1" x14ac:dyDescent="0.2">
      <c r="A20" s="1245" t="s">
        <v>41</v>
      </c>
      <c r="B20" s="1245" t="s">
        <v>397</v>
      </c>
      <c r="C20" s="1260">
        <v>1.4</v>
      </c>
      <c r="D20" s="1260">
        <v>1.4</v>
      </c>
      <c r="E20" s="1257">
        <v>1</v>
      </c>
      <c r="F20" s="1257">
        <v>1.5</v>
      </c>
    </row>
    <row r="21" spans="1:6" ht="21" customHeight="1" x14ac:dyDescent="0.2">
      <c r="A21" s="1245" t="s">
        <v>42</v>
      </c>
      <c r="B21" s="1245" t="s">
        <v>397</v>
      </c>
      <c r="C21" s="1260">
        <v>0.7</v>
      </c>
      <c r="D21" s="1260">
        <v>0.5</v>
      </c>
      <c r="E21" s="1257">
        <v>1</v>
      </c>
      <c r="F21" s="1257">
        <v>1.5</v>
      </c>
    </row>
    <row r="22" spans="1:6" ht="21" customHeight="1" x14ac:dyDescent="0.2">
      <c r="A22" s="1245" t="s">
        <v>43</v>
      </c>
      <c r="B22" s="1245" t="s">
        <v>397</v>
      </c>
      <c r="C22" s="1260">
        <v>0.8</v>
      </c>
      <c r="D22" s="1260">
        <v>0.4</v>
      </c>
      <c r="E22" s="1257">
        <v>1</v>
      </c>
      <c r="F22" s="1257">
        <v>1.5</v>
      </c>
    </row>
    <row r="23" spans="1:6" ht="21" customHeight="1" x14ac:dyDescent="0.2">
      <c r="A23" s="1245" t="s">
        <v>44</v>
      </c>
      <c r="B23" s="1245" t="s">
        <v>397</v>
      </c>
      <c r="C23" s="1260">
        <v>1.8</v>
      </c>
      <c r="D23" s="1260">
        <v>1.4</v>
      </c>
      <c r="E23" s="1257">
        <v>1</v>
      </c>
      <c r="F23" s="1257">
        <v>8</v>
      </c>
    </row>
    <row r="24" spans="1:6" ht="21" customHeight="1" x14ac:dyDescent="0.2">
      <c r="A24" s="1245" t="s">
        <v>391</v>
      </c>
      <c r="B24" s="1245" t="s">
        <v>397</v>
      </c>
      <c r="C24" s="1260">
        <v>0.2</v>
      </c>
      <c r="D24" s="1260">
        <v>0</v>
      </c>
      <c r="E24" s="1257">
        <v>1</v>
      </c>
      <c r="F24" s="1257">
        <v>1.5</v>
      </c>
    </row>
    <row r="25" spans="1:6" ht="21" customHeight="1" x14ac:dyDescent="0.2">
      <c r="A25" s="1245" t="s">
        <v>395</v>
      </c>
      <c r="C25" s="1247"/>
      <c r="D25" s="1249" t="s">
        <v>399</v>
      </c>
      <c r="E25" s="1258">
        <v>0.45</v>
      </c>
      <c r="F25" s="1258">
        <v>0.8</v>
      </c>
    </row>
    <row r="26" spans="1:6" ht="21" customHeight="1" x14ac:dyDescent="0.2">
      <c r="A26" s="1245" t="s">
        <v>396</v>
      </c>
      <c r="C26" s="1247"/>
      <c r="D26" s="1249" t="s">
        <v>399</v>
      </c>
      <c r="E26" s="1258">
        <v>6.5</v>
      </c>
      <c r="F26" s="1258">
        <v>13.5</v>
      </c>
    </row>
    <row r="27" spans="1:6" ht="21" customHeight="1" x14ac:dyDescent="0.2">
      <c r="A27" s="1245" t="s">
        <v>426</v>
      </c>
      <c r="B27" s="1245" t="s">
        <v>427</v>
      </c>
      <c r="C27" s="1248"/>
      <c r="D27" s="1254"/>
      <c r="E27" s="1258">
        <v>-1000</v>
      </c>
      <c r="F27" s="1258">
        <v>500</v>
      </c>
    </row>
  </sheetData>
  <sheetProtection password="ECA3" sheet="1" objects="1" scenarios="1"/>
  <customSheetViews>
    <customSheetView guid="{117F828A-4542-4D18-9CDB-B606529AAD66}" showGridLines="0" showRowCol="0">
      <selection activeCell="B8" sqref="B8"/>
      <pageMargins left="0.7" right="0.7" top="0.78740157499999996" bottom="0.78740157499999996" header="0.3" footer="0.3"/>
      <pageSetup paperSize="9" orientation="portrait" verticalDpi="0" r:id="rId1"/>
    </customSheetView>
  </customSheetViews>
  <pageMargins left="0.7" right="0.7" top="0.78740157499999996" bottom="0.78740157499999996"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22"/>
  <sheetViews>
    <sheetView showGridLines="0" showRowColHeaders="0" workbookViewId="0">
      <selection activeCell="B5" sqref="B5"/>
    </sheetView>
  </sheetViews>
  <sheetFormatPr baseColWidth="10" defaultColWidth="0" defaultRowHeight="12.75" zeroHeight="1" x14ac:dyDescent="0.2"/>
  <cols>
    <col min="1" max="1" width="3.140625" customWidth="1"/>
    <col min="2" max="2" width="25.5703125" customWidth="1"/>
    <col min="3" max="3" width="2.140625" customWidth="1"/>
    <col min="4" max="4" width="63" style="1110" customWidth="1"/>
    <col min="5" max="5" width="2.140625" style="1110" customWidth="1"/>
    <col min="6" max="6" width="37.7109375" style="1110" customWidth="1"/>
    <col min="7" max="7" width="11.42578125" customWidth="1"/>
    <col min="8" max="16384" width="11.42578125" hidden="1"/>
  </cols>
  <sheetData>
    <row r="1" spans="2:6" x14ac:dyDescent="0.2"/>
    <row r="2" spans="2:6" ht="15.75" x14ac:dyDescent="0.25">
      <c r="B2" s="874" t="s">
        <v>371</v>
      </c>
      <c r="C2" s="874"/>
    </row>
    <row r="3" spans="2:6" x14ac:dyDescent="0.2"/>
    <row r="4" spans="2:6" ht="63.75" customHeight="1" x14ac:dyDescent="0.2">
      <c r="B4" s="1476" t="s">
        <v>373</v>
      </c>
      <c r="C4" s="1476"/>
      <c r="D4" s="1476"/>
      <c r="E4" s="1476"/>
      <c r="F4" s="1476"/>
    </row>
    <row r="5" spans="2:6" x14ac:dyDescent="0.2"/>
    <row r="6" spans="2:6" ht="20.25" x14ac:dyDescent="0.3">
      <c r="B6" s="1285" t="s">
        <v>372</v>
      </c>
      <c r="C6" s="791"/>
    </row>
    <row r="7" spans="2:6" ht="15" x14ac:dyDescent="0.2">
      <c r="B7" s="1477" t="s">
        <v>374</v>
      </c>
      <c r="C7" s="1477"/>
      <c r="D7" s="1477"/>
      <c r="E7" s="1477"/>
      <c r="F7" s="1477"/>
    </row>
    <row r="8" spans="2:6" x14ac:dyDescent="0.2"/>
    <row r="9" spans="2:6" x14ac:dyDescent="0.2">
      <c r="B9" s="1283" t="s">
        <v>375</v>
      </c>
      <c r="C9" s="1283"/>
      <c r="D9" s="1284" t="s">
        <v>376</v>
      </c>
      <c r="E9" s="1284"/>
      <c r="F9" s="1284" t="s">
        <v>377</v>
      </c>
    </row>
    <row r="10" spans="2:6" ht="127.5" x14ac:dyDescent="0.2">
      <c r="B10" s="1279" t="s">
        <v>311</v>
      </c>
      <c r="C10" s="875"/>
      <c r="D10" s="1111" t="s">
        <v>439</v>
      </c>
      <c r="F10" s="1111" t="s">
        <v>435</v>
      </c>
    </row>
    <row r="11" spans="2:6" x14ac:dyDescent="0.2">
      <c r="B11" s="875"/>
      <c r="C11" s="875"/>
    </row>
    <row r="12" spans="2:6" ht="89.25" x14ac:dyDescent="0.2">
      <c r="B12" s="1279" t="s">
        <v>262</v>
      </c>
      <c r="C12" s="875"/>
      <c r="D12" s="1112" t="s">
        <v>436</v>
      </c>
      <c r="F12" s="1111" t="s">
        <v>438</v>
      </c>
    </row>
    <row r="13" spans="2:6" x14ac:dyDescent="0.2">
      <c r="B13" s="875"/>
      <c r="C13" s="875"/>
    </row>
    <row r="14" spans="2:6" ht="395.25" x14ac:dyDescent="0.2">
      <c r="B14" s="1280" t="s">
        <v>378</v>
      </c>
      <c r="C14" s="875"/>
      <c r="D14" s="1111" t="s">
        <v>402</v>
      </c>
      <c r="E14" s="1111"/>
      <c r="F14" s="1111" t="s">
        <v>403</v>
      </c>
    </row>
    <row r="15" spans="2:6" x14ac:dyDescent="0.2">
      <c r="B15" s="1111"/>
      <c r="C15" s="1111"/>
      <c r="D15" s="1111"/>
      <c r="E15" s="1111"/>
      <c r="F15" s="1111"/>
    </row>
    <row r="16" spans="2:6" ht="76.5" x14ac:dyDescent="0.2">
      <c r="B16" s="1280" t="s">
        <v>437</v>
      </c>
      <c r="C16" s="875"/>
      <c r="D16" s="1111" t="s">
        <v>444</v>
      </c>
      <c r="E16" s="1112"/>
      <c r="F16" s="1111" t="s">
        <v>404</v>
      </c>
    </row>
    <row r="17" spans="2:6" x14ac:dyDescent="0.2">
      <c r="B17" s="1111"/>
      <c r="C17" s="1111"/>
      <c r="D17" s="1111"/>
      <c r="E17" s="1112"/>
      <c r="F17" s="1111"/>
    </row>
    <row r="18" spans="2:6" ht="282" customHeight="1" x14ac:dyDescent="0.2">
      <c r="B18" s="1280" t="s">
        <v>379</v>
      </c>
      <c r="C18" s="875"/>
      <c r="D18" s="1111" t="s">
        <v>434</v>
      </c>
      <c r="F18" s="1112" t="s">
        <v>433</v>
      </c>
    </row>
    <row r="19" spans="2:6" x14ac:dyDescent="0.2">
      <c r="B19" s="875"/>
      <c r="C19" s="875"/>
    </row>
    <row r="20" spans="2:6" ht="89.25" x14ac:dyDescent="0.2">
      <c r="B20" s="1281" t="s">
        <v>380</v>
      </c>
      <c r="C20" s="875"/>
      <c r="D20" s="1112" t="s">
        <v>440</v>
      </c>
      <c r="F20" s="1111" t="s">
        <v>442</v>
      </c>
    </row>
    <row r="21" spans="2:6" x14ac:dyDescent="0.2">
      <c r="B21" s="875"/>
      <c r="C21" s="875"/>
    </row>
    <row r="22" spans="2:6" ht="114.75" x14ac:dyDescent="0.2">
      <c r="B22" s="1282" t="s">
        <v>381</v>
      </c>
      <c r="C22" s="875"/>
      <c r="D22" s="1111" t="s">
        <v>443</v>
      </c>
      <c r="F22" s="1111" t="s">
        <v>445</v>
      </c>
    </row>
  </sheetData>
  <sheetProtection password="ECA3" sheet="1" objects="1" scenarios="1"/>
  <customSheetViews>
    <customSheetView guid="{117F828A-4542-4D18-9CDB-B606529AAD66}" showGridLines="0" showRowCol="0" hiddenRows="1" hiddenColumns="1">
      <pageMargins left="0.7" right="0.7" top="0.78740157499999996" bottom="0.78740157499999996" header="0.3" footer="0.3"/>
      <pageSetup paperSize="9" orientation="portrait" verticalDpi="0" r:id="rId1"/>
    </customSheetView>
  </customSheetViews>
  <mergeCells count="2">
    <mergeCell ref="B4:F4"/>
    <mergeCell ref="B7:F7"/>
  </mergeCells>
  <hyperlinks>
    <hyperlink ref="B14" location="'Ration Milch'!A1" display="Ration Milch"/>
    <hyperlink ref="B16" location="'Ration Milch-Mineralstoffe'!A1" display="Ration Milch-Mineralstoffe"/>
    <hyperlink ref="B18" location="'Zuteilung-Milchleistungsfutter'!A1" display="Zuteilung Milchleistungsfutter"/>
    <hyperlink ref="B10" location="Futterwerte!A1" display="Futterwerte"/>
    <hyperlink ref="B12" location="Eigenmischungen!A1" display="Eigenmischungen"/>
    <hyperlink ref="B20" location="'TMR-Mischplan'!A1" display="TMR-Mischplan"/>
    <hyperlink ref="B22" location="'Ration Aufzucht-Mast'!A1" display="Ration Aufzucht-Mast"/>
  </hyperlinks>
  <pageMargins left="0.7" right="0.7" top="0.78740157499999996" bottom="0.78740157499999996"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pageSetUpPr fitToPage="1"/>
  </sheetPr>
  <dimension ref="A1:AI201"/>
  <sheetViews>
    <sheetView showGridLines="0" showRowColHeaders="0" zoomScale="70" zoomScaleNormal="70" workbookViewId="0">
      <pane xSplit="2" ySplit="7" topLeftCell="C20" activePane="bottomRight" state="frozen"/>
      <selection activeCell="B5" sqref="B5"/>
      <selection pane="topRight" activeCell="B5" sqref="B5"/>
      <selection pane="bottomLeft" activeCell="B5" sqref="B5"/>
      <selection pane="bottomRight" activeCell="T35" sqref="T35"/>
    </sheetView>
  </sheetViews>
  <sheetFormatPr baseColWidth="10" defaultColWidth="0" defaultRowHeight="12.75" zeroHeight="1" x14ac:dyDescent="0.2"/>
  <cols>
    <col min="1" max="1" width="2.28515625" style="10" customWidth="1"/>
    <col min="2" max="2" width="37.140625" style="25" customWidth="1"/>
    <col min="3" max="3" width="8.140625" style="10" customWidth="1"/>
    <col min="4" max="5" width="8.85546875" style="22" customWidth="1"/>
    <col min="6" max="8" width="6.42578125" style="10" customWidth="1"/>
    <col min="9" max="9" width="8.42578125" style="18" customWidth="1"/>
    <col min="10" max="10" width="8.140625" style="10" bestFit="1" customWidth="1"/>
    <col min="11" max="11" width="7.5703125" style="29" customWidth="1"/>
    <col min="12" max="12" width="6.5703125" style="29" bestFit="1" customWidth="1"/>
    <col min="13" max="13" width="8.28515625" style="29" bestFit="1" customWidth="1"/>
    <col min="14" max="14" width="6.42578125" style="29" bestFit="1" customWidth="1"/>
    <col min="15" max="15" width="9.7109375" style="18" customWidth="1"/>
    <col min="16" max="16" width="7.42578125" style="18" bestFit="1" customWidth="1"/>
    <col min="17" max="17" width="4.28515625" style="10" bestFit="1" customWidth="1"/>
    <col min="18" max="18" width="5.7109375" style="10" bestFit="1" customWidth="1"/>
    <col min="19" max="19" width="6.42578125" style="10" customWidth="1"/>
    <col min="20" max="23" width="6.85546875" style="10" customWidth="1"/>
    <col min="24" max="24" width="7.42578125" style="10" customWidth="1"/>
    <col min="25" max="26" width="8.7109375" style="10" customWidth="1"/>
    <col min="27" max="27" width="2" style="10" hidden="1" customWidth="1"/>
    <col min="28" max="28" width="12" style="10" hidden="1" customWidth="1"/>
    <col min="29" max="29" width="7" style="10" hidden="1" customWidth="1"/>
    <col min="30" max="30" width="14.28515625" style="10" hidden="1" customWidth="1"/>
    <col min="31" max="31" width="8" style="10" hidden="1" customWidth="1"/>
    <col min="32" max="32" width="4" style="10" hidden="1" customWidth="1"/>
    <col min="33" max="33" width="6" style="10" hidden="1" customWidth="1"/>
    <col min="34" max="34" width="0.85546875" style="209" hidden="1" customWidth="1"/>
    <col min="35" max="35" width="5.7109375" style="450" hidden="1" customWidth="1"/>
    <col min="36" max="16384" width="11.42578125" style="209" hidden="1"/>
  </cols>
  <sheetData>
    <row r="1" spans="1:34" ht="42.75" customHeight="1" thickTop="1" x14ac:dyDescent="0.2">
      <c r="A1" s="185"/>
      <c r="B1" s="186" t="s">
        <v>52</v>
      </c>
      <c r="C1" s="187"/>
      <c r="D1" s="187"/>
      <c r="E1" s="187"/>
      <c r="F1" s="187"/>
      <c r="G1" s="187"/>
      <c r="H1" s="187"/>
      <c r="I1" s="188"/>
      <c r="J1" s="187"/>
      <c r="K1" s="189"/>
      <c r="L1" s="189"/>
      <c r="M1" s="189"/>
      <c r="N1" s="189"/>
      <c r="O1" s="188"/>
      <c r="P1" s="188"/>
      <c r="Q1" s="190"/>
      <c r="R1" s="190"/>
      <c r="S1" s="187"/>
      <c r="T1" s="187"/>
      <c r="U1" s="187"/>
      <c r="V1" s="187"/>
      <c r="W1" s="191"/>
      <c r="X1" s="191"/>
      <c r="Y1" s="191"/>
      <c r="Z1" s="192"/>
      <c r="AA1" s="27"/>
    </row>
    <row r="2" spans="1:34" ht="6.75" customHeight="1" x14ac:dyDescent="0.2">
      <c r="A2" s="193"/>
      <c r="B2" s="194"/>
      <c r="C2" s="195"/>
      <c r="D2" s="196"/>
      <c r="E2" s="196"/>
      <c r="F2" s="196"/>
      <c r="G2" s="196"/>
      <c r="H2" s="196"/>
      <c r="I2" s="197"/>
      <c r="J2" s="198"/>
      <c r="K2" s="199"/>
      <c r="L2" s="199"/>
      <c r="M2" s="199"/>
      <c r="N2" s="199"/>
      <c r="O2" s="197"/>
      <c r="P2" s="197"/>
      <c r="Q2" s="198"/>
      <c r="R2" s="198"/>
      <c r="S2" s="198"/>
      <c r="T2" s="198"/>
      <c r="U2" s="198"/>
      <c r="V2" s="198"/>
      <c r="W2" s="198"/>
      <c r="X2" s="198"/>
      <c r="Y2" s="1352"/>
      <c r="Z2" s="1369"/>
      <c r="AA2" s="11"/>
    </row>
    <row r="3" spans="1:34" s="450" customFormat="1" ht="13.5" x14ac:dyDescent="0.2">
      <c r="A3" s="444"/>
      <c r="B3" s="445" t="s">
        <v>53</v>
      </c>
      <c r="C3" s="1353" t="s">
        <v>54</v>
      </c>
      <c r="D3" s="200" t="s">
        <v>55</v>
      </c>
      <c r="E3" s="200" t="s">
        <v>56</v>
      </c>
      <c r="F3" s="201" t="s">
        <v>57</v>
      </c>
      <c r="G3" s="200"/>
      <c r="H3" s="200" t="s">
        <v>58</v>
      </c>
      <c r="I3" s="202" t="s">
        <v>59</v>
      </c>
      <c r="J3" s="203" t="s">
        <v>63</v>
      </c>
      <c r="K3" s="1479" t="s">
        <v>64</v>
      </c>
      <c r="L3" s="1479"/>
      <c r="M3" s="1347" t="s">
        <v>221</v>
      </c>
      <c r="N3" s="1347" t="s">
        <v>61</v>
      </c>
      <c r="O3" s="202" t="s">
        <v>60</v>
      </c>
      <c r="P3" s="202" t="s">
        <v>162</v>
      </c>
      <c r="Q3" s="203" t="s">
        <v>62</v>
      </c>
      <c r="R3" s="203"/>
      <c r="S3" s="1354"/>
      <c r="T3" s="200" t="s">
        <v>140</v>
      </c>
      <c r="U3" s="202"/>
      <c r="V3" s="202"/>
      <c r="W3" s="202"/>
      <c r="X3" s="202"/>
      <c r="Y3" s="1353"/>
      <c r="Z3" s="1370"/>
      <c r="AA3" s="116"/>
      <c r="AB3" s="446"/>
      <c r="AC3" s="446"/>
      <c r="AD3" s="446"/>
      <c r="AE3" s="447"/>
      <c r="AF3" s="448"/>
      <c r="AG3" s="448"/>
      <c r="AH3" s="449"/>
    </row>
    <row r="4" spans="1:34" s="450" customFormat="1" ht="13.5" x14ac:dyDescent="0.2">
      <c r="A4" s="451"/>
      <c r="B4" s="452"/>
      <c r="C4" s="204" t="s">
        <v>65</v>
      </c>
      <c r="D4" s="205" t="s">
        <v>66</v>
      </c>
      <c r="E4" s="205" t="s">
        <v>67</v>
      </c>
      <c r="F4" s="206" t="s">
        <v>68</v>
      </c>
      <c r="G4" s="205"/>
      <c r="H4" s="205" t="s">
        <v>57</v>
      </c>
      <c r="I4" s="207" t="s">
        <v>69</v>
      </c>
      <c r="J4" s="205" t="s">
        <v>70</v>
      </c>
      <c r="K4" s="1478" t="s">
        <v>71</v>
      </c>
      <c r="L4" s="1478"/>
      <c r="M4" s="1346" t="s">
        <v>222</v>
      </c>
      <c r="N4" s="1346"/>
      <c r="O4" s="207"/>
      <c r="P4" s="207"/>
      <c r="Q4" s="205"/>
      <c r="R4" s="205"/>
      <c r="S4" s="204"/>
      <c r="T4" s="205"/>
      <c r="U4" s="453"/>
      <c r="V4" s="453"/>
      <c r="W4" s="453"/>
      <c r="X4" s="453"/>
      <c r="Y4" s="1355"/>
      <c r="Z4" s="1371"/>
      <c r="AA4" s="454"/>
      <c r="AB4" s="446"/>
      <c r="AC4" s="446"/>
      <c r="AD4" s="446"/>
      <c r="AE4" s="447"/>
      <c r="AF4" s="448"/>
      <c r="AG4" s="455"/>
      <c r="AH4" s="456"/>
    </row>
    <row r="5" spans="1:34" s="450" customFormat="1" ht="12" x14ac:dyDescent="0.2">
      <c r="A5" s="451"/>
      <c r="B5" s="452"/>
      <c r="C5" s="204"/>
      <c r="D5" s="205" t="s">
        <v>72</v>
      </c>
      <c r="E5" s="205"/>
      <c r="F5" s="206"/>
      <c r="G5" s="205"/>
      <c r="H5" s="205" t="s">
        <v>68</v>
      </c>
      <c r="I5" s="207" t="s">
        <v>73</v>
      </c>
      <c r="J5" s="205"/>
      <c r="K5" s="1346"/>
      <c r="L5" s="1346"/>
      <c r="M5" s="1346"/>
      <c r="N5" s="1346"/>
      <c r="O5" s="207"/>
      <c r="P5" s="207"/>
      <c r="Q5" s="205"/>
      <c r="R5" s="205"/>
      <c r="S5" s="204"/>
      <c r="T5" s="205"/>
      <c r="U5" s="453"/>
      <c r="V5" s="453"/>
      <c r="W5" s="453"/>
      <c r="X5" s="453"/>
      <c r="Y5" s="1355"/>
      <c r="Z5" s="1371"/>
      <c r="AA5" s="454"/>
      <c r="AB5" s="446"/>
      <c r="AC5" s="446"/>
      <c r="AD5" s="446"/>
      <c r="AE5" s="448"/>
      <c r="AF5" s="448"/>
      <c r="AG5" s="448"/>
      <c r="AH5" s="449"/>
    </row>
    <row r="6" spans="1:34" s="450" customFormat="1" ht="12" x14ac:dyDescent="0.2">
      <c r="A6" s="451"/>
      <c r="B6" s="452"/>
      <c r="C6" s="457" t="s">
        <v>12</v>
      </c>
      <c r="D6" s="458" t="s">
        <v>13</v>
      </c>
      <c r="E6" s="458" t="s">
        <v>74</v>
      </c>
      <c r="F6" s="459" t="s">
        <v>75</v>
      </c>
      <c r="G6" s="458" t="s">
        <v>173</v>
      </c>
      <c r="H6" s="458" t="s">
        <v>14</v>
      </c>
      <c r="I6" s="460" t="s">
        <v>15</v>
      </c>
      <c r="J6" s="458" t="s">
        <v>20</v>
      </c>
      <c r="K6" s="461" t="s">
        <v>21</v>
      </c>
      <c r="L6" s="461" t="s">
        <v>22</v>
      </c>
      <c r="M6" s="461" t="s">
        <v>220</v>
      </c>
      <c r="N6" s="461" t="s">
        <v>17</v>
      </c>
      <c r="O6" s="460" t="s">
        <v>16</v>
      </c>
      <c r="P6" s="460" t="s">
        <v>161</v>
      </c>
      <c r="Q6" s="458" t="s">
        <v>18</v>
      </c>
      <c r="R6" s="458" t="s">
        <v>19</v>
      </c>
      <c r="S6" s="457" t="s">
        <v>223</v>
      </c>
      <c r="T6" s="458" t="s">
        <v>40</v>
      </c>
      <c r="U6" s="458" t="s">
        <v>41</v>
      </c>
      <c r="V6" s="458" t="s">
        <v>42</v>
      </c>
      <c r="W6" s="458" t="s">
        <v>43</v>
      </c>
      <c r="X6" s="458" t="s">
        <v>44</v>
      </c>
      <c r="Y6" s="457" t="s">
        <v>391</v>
      </c>
      <c r="Z6" s="1372" t="s">
        <v>457</v>
      </c>
      <c r="AA6" s="462"/>
      <c r="AB6" s="446" t="s">
        <v>18</v>
      </c>
      <c r="AC6" s="446" t="s">
        <v>17</v>
      </c>
      <c r="AD6" s="446" t="s">
        <v>114</v>
      </c>
      <c r="AE6" s="446" t="s">
        <v>76</v>
      </c>
      <c r="AF6" s="446" t="s">
        <v>16</v>
      </c>
      <c r="AG6" s="446" t="s">
        <v>77</v>
      </c>
    </row>
    <row r="7" spans="1:34" s="450" customFormat="1" ht="17.25" customHeight="1" x14ac:dyDescent="0.2">
      <c r="A7" s="463"/>
      <c r="B7" s="464"/>
      <c r="C7" s="465" t="s">
        <v>227</v>
      </c>
      <c r="D7" s="1348" t="s">
        <v>226</v>
      </c>
      <c r="E7" s="1348" t="s">
        <v>226</v>
      </c>
      <c r="F7" s="466" t="s">
        <v>225</v>
      </c>
      <c r="G7" s="467"/>
      <c r="H7" s="467"/>
      <c r="I7" s="468"/>
      <c r="J7" s="467"/>
      <c r="K7" s="469"/>
      <c r="L7" s="469"/>
      <c r="M7" s="469"/>
      <c r="N7" s="469"/>
      <c r="O7" s="468"/>
      <c r="P7" s="468"/>
      <c r="Q7" s="467"/>
      <c r="R7" s="467"/>
      <c r="S7" s="470" t="s">
        <v>224</v>
      </c>
      <c r="T7" s="1480" t="s">
        <v>225</v>
      </c>
      <c r="U7" s="1481"/>
      <c r="V7" s="1481"/>
      <c r="W7" s="1481"/>
      <c r="X7" s="1481"/>
      <c r="Y7" s="1356" t="s">
        <v>393</v>
      </c>
      <c r="Z7" s="1370" t="s">
        <v>459</v>
      </c>
      <c r="AA7" s="471"/>
      <c r="AB7" s="446"/>
      <c r="AC7" s="446"/>
      <c r="AD7" s="446"/>
      <c r="AE7" s="446"/>
      <c r="AF7" s="446"/>
      <c r="AG7" s="446"/>
    </row>
    <row r="8" spans="1:34" s="450" customFormat="1" ht="17.25" customHeight="1" x14ac:dyDescent="0.2">
      <c r="A8" s="472" t="s">
        <v>240</v>
      </c>
      <c r="B8" s="473"/>
      <c r="C8" s="474">
        <v>1E-3</v>
      </c>
      <c r="D8" s="475">
        <v>0</v>
      </c>
      <c r="E8" s="475">
        <v>0</v>
      </c>
      <c r="F8" s="476">
        <v>0</v>
      </c>
      <c r="G8" s="475">
        <v>0</v>
      </c>
      <c r="H8" s="475">
        <v>0</v>
      </c>
      <c r="I8" s="475">
        <v>0</v>
      </c>
      <c r="J8" s="475">
        <v>0</v>
      </c>
      <c r="K8" s="475">
        <v>0</v>
      </c>
      <c r="L8" s="475">
        <v>0</v>
      </c>
      <c r="M8" s="475">
        <v>0</v>
      </c>
      <c r="N8" s="475">
        <v>0</v>
      </c>
      <c r="O8" s="477"/>
      <c r="P8" s="477"/>
      <c r="Q8" s="475">
        <v>0</v>
      </c>
      <c r="R8" s="475">
        <v>0</v>
      </c>
      <c r="S8" s="474">
        <v>0</v>
      </c>
      <c r="T8" s="475">
        <v>0</v>
      </c>
      <c r="U8" s="478">
        <v>0</v>
      </c>
      <c r="V8" s="478">
        <v>0</v>
      </c>
      <c r="W8" s="478">
        <v>0</v>
      </c>
      <c r="X8" s="1155">
        <v>0</v>
      </c>
      <c r="Y8" s="1158"/>
      <c r="Z8" s="1373"/>
      <c r="AA8" s="453"/>
      <c r="AB8" s="479"/>
      <c r="AC8" s="479"/>
      <c r="AD8" s="479"/>
      <c r="AE8" s="479"/>
      <c r="AF8" s="479"/>
      <c r="AG8" s="479"/>
    </row>
    <row r="9" spans="1:34" s="450" customFormat="1" ht="17.25" customHeight="1" x14ac:dyDescent="0.2">
      <c r="A9" s="480"/>
      <c r="B9" s="512"/>
      <c r="C9" s="513"/>
      <c r="D9" s="498"/>
      <c r="E9" s="498"/>
      <c r="F9" s="500"/>
      <c r="G9" s="501"/>
      <c r="H9" s="503"/>
      <c r="I9" s="514"/>
      <c r="J9" s="498"/>
      <c r="K9" s="503"/>
      <c r="L9" s="503"/>
      <c r="M9" s="503"/>
      <c r="N9" s="503"/>
      <c r="O9" s="503"/>
      <c r="P9" s="503"/>
      <c r="Q9" s="503"/>
      <c r="R9" s="515"/>
      <c r="S9" s="513"/>
      <c r="T9" s="498"/>
      <c r="U9" s="498"/>
      <c r="V9" s="498"/>
      <c r="W9" s="498"/>
      <c r="X9" s="503"/>
      <c r="Y9" s="513"/>
      <c r="Z9" s="1393"/>
      <c r="AA9" s="481"/>
      <c r="AB9" s="482"/>
      <c r="AC9" s="482"/>
      <c r="AD9" s="482"/>
      <c r="AE9" s="482"/>
      <c r="AF9" s="482"/>
      <c r="AG9" s="482"/>
    </row>
    <row r="10" spans="1:34" s="450" customFormat="1" ht="17.25" customHeight="1" x14ac:dyDescent="0.2">
      <c r="A10" s="480"/>
      <c r="B10" s="512"/>
      <c r="C10" s="513"/>
      <c r="D10" s="498"/>
      <c r="E10" s="498"/>
      <c r="F10" s="500"/>
      <c r="G10" s="501"/>
      <c r="H10" s="503"/>
      <c r="I10" s="514"/>
      <c r="J10" s="498"/>
      <c r="K10" s="503"/>
      <c r="L10" s="503"/>
      <c r="M10" s="503"/>
      <c r="N10" s="503"/>
      <c r="O10" s="503"/>
      <c r="P10" s="503"/>
      <c r="Q10" s="503"/>
      <c r="R10" s="515"/>
      <c r="S10" s="513"/>
      <c r="T10" s="498"/>
      <c r="U10" s="498"/>
      <c r="V10" s="498"/>
      <c r="W10" s="498"/>
      <c r="X10" s="503"/>
      <c r="Y10" s="513"/>
      <c r="Z10" s="1393"/>
      <c r="AA10" s="481"/>
      <c r="AB10" s="482"/>
      <c r="AC10" s="482"/>
      <c r="AD10" s="482"/>
      <c r="AE10" s="482"/>
      <c r="AF10" s="482"/>
      <c r="AG10" s="482"/>
    </row>
    <row r="11" spans="1:34" s="450" customFormat="1" ht="17.25" customHeight="1" x14ac:dyDescent="0.2">
      <c r="A11" s="480"/>
      <c r="B11" s="512"/>
      <c r="C11" s="513"/>
      <c r="D11" s="498"/>
      <c r="E11" s="498"/>
      <c r="F11" s="500"/>
      <c r="G11" s="501"/>
      <c r="H11" s="503"/>
      <c r="I11" s="514"/>
      <c r="J11" s="498"/>
      <c r="K11" s="503"/>
      <c r="L11" s="503"/>
      <c r="M11" s="503"/>
      <c r="N11" s="503"/>
      <c r="O11" s="503"/>
      <c r="P11" s="503"/>
      <c r="Q11" s="503"/>
      <c r="R11" s="515"/>
      <c r="S11" s="513"/>
      <c r="T11" s="498"/>
      <c r="U11" s="498"/>
      <c r="V11" s="498"/>
      <c r="W11" s="498"/>
      <c r="X11" s="503"/>
      <c r="Y11" s="513"/>
      <c r="Z11" s="1393"/>
      <c r="AA11" s="481"/>
      <c r="AB11" s="482"/>
      <c r="AC11" s="482"/>
      <c r="AD11" s="482"/>
      <c r="AE11" s="482"/>
      <c r="AF11" s="482"/>
      <c r="AG11" s="482"/>
    </row>
    <row r="12" spans="1:34" s="450" customFormat="1" ht="17.25" customHeight="1" x14ac:dyDescent="0.2">
      <c r="A12" s="480"/>
      <c r="B12" s="512"/>
      <c r="C12" s="513"/>
      <c r="D12" s="498"/>
      <c r="E12" s="498"/>
      <c r="F12" s="500"/>
      <c r="G12" s="501"/>
      <c r="H12" s="503"/>
      <c r="I12" s="514"/>
      <c r="J12" s="498"/>
      <c r="K12" s="503"/>
      <c r="L12" s="503"/>
      <c r="M12" s="503"/>
      <c r="N12" s="503"/>
      <c r="O12" s="503"/>
      <c r="P12" s="503"/>
      <c r="Q12" s="503"/>
      <c r="R12" s="515"/>
      <c r="S12" s="513"/>
      <c r="T12" s="498"/>
      <c r="U12" s="498"/>
      <c r="V12" s="498"/>
      <c r="W12" s="498"/>
      <c r="X12" s="503"/>
      <c r="Y12" s="513"/>
      <c r="Z12" s="1393"/>
      <c r="AA12" s="481"/>
      <c r="AB12" s="482"/>
      <c r="AC12" s="482"/>
      <c r="AD12" s="482"/>
      <c r="AE12" s="482"/>
      <c r="AF12" s="482"/>
      <c r="AG12" s="482"/>
    </row>
    <row r="13" spans="1:34" s="450" customFormat="1" ht="17.25" customHeight="1" x14ac:dyDescent="0.2">
      <c r="A13" s="480"/>
      <c r="B13" s="512"/>
      <c r="C13" s="513"/>
      <c r="D13" s="498"/>
      <c r="E13" s="498"/>
      <c r="F13" s="500"/>
      <c r="G13" s="515"/>
      <c r="H13" s="503"/>
      <c r="I13" s="498"/>
      <c r="J13" s="498"/>
      <c r="K13" s="503"/>
      <c r="L13" s="503"/>
      <c r="M13" s="503"/>
      <c r="N13" s="503"/>
      <c r="O13" s="503"/>
      <c r="P13" s="503"/>
      <c r="Q13" s="503"/>
      <c r="R13" s="515"/>
      <c r="S13" s="513"/>
      <c r="T13" s="498"/>
      <c r="U13" s="498"/>
      <c r="V13" s="498"/>
      <c r="W13" s="498"/>
      <c r="X13" s="1156"/>
      <c r="Y13" s="1357"/>
      <c r="Z13" s="1394"/>
      <c r="AA13" s="482"/>
      <c r="AB13" s="482"/>
      <c r="AC13" s="482"/>
      <c r="AD13" s="482"/>
      <c r="AE13" s="482"/>
      <c r="AF13" s="482"/>
    </row>
    <row r="14" spans="1:34" s="450" customFormat="1" ht="17.25" customHeight="1" x14ac:dyDescent="0.2">
      <c r="A14" s="480"/>
      <c r="B14" s="512"/>
      <c r="C14" s="513"/>
      <c r="D14" s="498"/>
      <c r="E14" s="498"/>
      <c r="F14" s="500"/>
      <c r="G14" s="515"/>
      <c r="H14" s="503"/>
      <c r="I14" s="498"/>
      <c r="J14" s="498"/>
      <c r="K14" s="503"/>
      <c r="L14" s="503"/>
      <c r="M14" s="503"/>
      <c r="N14" s="503"/>
      <c r="O14" s="503"/>
      <c r="P14" s="503"/>
      <c r="Q14" s="503"/>
      <c r="R14" s="515"/>
      <c r="S14" s="513"/>
      <c r="T14" s="498"/>
      <c r="U14" s="498"/>
      <c r="V14" s="498"/>
      <c r="W14" s="498"/>
      <c r="X14" s="1156"/>
      <c r="Y14" s="1357"/>
      <c r="Z14" s="1394"/>
      <c r="AA14" s="482"/>
      <c r="AB14" s="482"/>
      <c r="AC14" s="482"/>
      <c r="AD14" s="482"/>
      <c r="AE14" s="482"/>
      <c r="AF14" s="482"/>
    </row>
    <row r="15" spans="1:34" s="450" customFormat="1" ht="17.25" customHeight="1" x14ac:dyDescent="0.2">
      <c r="A15" s="480"/>
      <c r="B15" s="512"/>
      <c r="C15" s="513"/>
      <c r="D15" s="498"/>
      <c r="E15" s="498"/>
      <c r="F15" s="500"/>
      <c r="G15" s="515"/>
      <c r="H15" s="503"/>
      <c r="I15" s="498"/>
      <c r="J15" s="498"/>
      <c r="K15" s="503"/>
      <c r="L15" s="503"/>
      <c r="M15" s="503"/>
      <c r="N15" s="503"/>
      <c r="O15" s="503"/>
      <c r="P15" s="503"/>
      <c r="Q15" s="503"/>
      <c r="R15" s="515"/>
      <c r="S15" s="513"/>
      <c r="T15" s="498"/>
      <c r="U15" s="498"/>
      <c r="V15" s="498"/>
      <c r="W15" s="498"/>
      <c r="X15" s="1156"/>
      <c r="Y15" s="1357"/>
      <c r="Z15" s="1394"/>
      <c r="AA15" s="482"/>
      <c r="AB15" s="482"/>
      <c r="AC15" s="482"/>
      <c r="AD15" s="482"/>
      <c r="AE15" s="482"/>
      <c r="AF15" s="482"/>
    </row>
    <row r="16" spans="1:34" s="450" customFormat="1" ht="17.25" customHeight="1" x14ac:dyDescent="0.2">
      <c r="A16" s="480"/>
      <c r="B16" s="512"/>
      <c r="C16" s="513"/>
      <c r="D16" s="498"/>
      <c r="E16" s="498"/>
      <c r="F16" s="500"/>
      <c r="G16" s="515"/>
      <c r="H16" s="503"/>
      <c r="I16" s="498"/>
      <c r="J16" s="498"/>
      <c r="K16" s="503"/>
      <c r="L16" s="503"/>
      <c r="M16" s="503"/>
      <c r="N16" s="503"/>
      <c r="O16" s="503"/>
      <c r="P16" s="503"/>
      <c r="Q16" s="503"/>
      <c r="R16" s="515"/>
      <c r="S16" s="513"/>
      <c r="T16" s="498"/>
      <c r="U16" s="498"/>
      <c r="V16" s="498"/>
      <c r="W16" s="498"/>
      <c r="X16" s="1156"/>
      <c r="Y16" s="1357"/>
      <c r="Z16" s="1394"/>
      <c r="AA16" s="482"/>
      <c r="AB16" s="482"/>
      <c r="AC16" s="482"/>
      <c r="AD16" s="482"/>
      <c r="AE16" s="482"/>
      <c r="AF16" s="482"/>
    </row>
    <row r="17" spans="1:35" s="450" customFormat="1" ht="17.25" customHeight="1" x14ac:dyDescent="0.2">
      <c r="A17" s="480"/>
      <c r="B17" s="512"/>
      <c r="C17" s="513"/>
      <c r="D17" s="498"/>
      <c r="E17" s="498"/>
      <c r="F17" s="500"/>
      <c r="G17" s="515"/>
      <c r="H17" s="503"/>
      <c r="I17" s="498"/>
      <c r="J17" s="498"/>
      <c r="K17" s="503"/>
      <c r="L17" s="503"/>
      <c r="M17" s="503"/>
      <c r="N17" s="503"/>
      <c r="O17" s="503"/>
      <c r="P17" s="503"/>
      <c r="Q17" s="503"/>
      <c r="R17" s="515"/>
      <c r="S17" s="513"/>
      <c r="T17" s="498"/>
      <c r="U17" s="498"/>
      <c r="V17" s="498"/>
      <c r="W17" s="498"/>
      <c r="X17" s="1156"/>
      <c r="Y17" s="1357"/>
      <c r="Z17" s="1394"/>
      <c r="AA17" s="482"/>
      <c r="AB17" s="482"/>
      <c r="AC17" s="482"/>
      <c r="AD17" s="482"/>
      <c r="AE17" s="482"/>
      <c r="AF17" s="482"/>
    </row>
    <row r="18" spans="1:35" s="450" customFormat="1" ht="17.25" customHeight="1" x14ac:dyDescent="0.2">
      <c r="A18" s="480"/>
      <c r="B18" s="512"/>
      <c r="C18" s="513"/>
      <c r="D18" s="498"/>
      <c r="E18" s="498"/>
      <c r="F18" s="500"/>
      <c r="G18" s="515"/>
      <c r="H18" s="503"/>
      <c r="I18" s="498"/>
      <c r="J18" s="498"/>
      <c r="K18" s="503"/>
      <c r="L18" s="503"/>
      <c r="M18" s="503"/>
      <c r="N18" s="503"/>
      <c r="O18" s="503"/>
      <c r="P18" s="503"/>
      <c r="Q18" s="503"/>
      <c r="R18" s="515"/>
      <c r="S18" s="513"/>
      <c r="T18" s="498"/>
      <c r="U18" s="498"/>
      <c r="V18" s="498"/>
      <c r="W18" s="498"/>
      <c r="X18" s="1156"/>
      <c r="Y18" s="1357"/>
      <c r="Z18" s="1394"/>
      <c r="AA18" s="482"/>
      <c r="AB18" s="482"/>
      <c r="AC18" s="482"/>
      <c r="AD18" s="482"/>
      <c r="AE18" s="482"/>
      <c r="AF18" s="482"/>
    </row>
    <row r="19" spans="1:35" s="450" customFormat="1" ht="17.25" customHeight="1" x14ac:dyDescent="0.2">
      <c r="A19" s="480"/>
      <c r="B19" s="512"/>
      <c r="C19" s="513"/>
      <c r="D19" s="498"/>
      <c r="E19" s="498"/>
      <c r="F19" s="500"/>
      <c r="G19" s="515"/>
      <c r="H19" s="503"/>
      <c r="I19" s="498"/>
      <c r="J19" s="498"/>
      <c r="K19" s="503"/>
      <c r="L19" s="503"/>
      <c r="M19" s="503"/>
      <c r="N19" s="503"/>
      <c r="O19" s="503"/>
      <c r="P19" s="503"/>
      <c r="Q19" s="503"/>
      <c r="R19" s="515"/>
      <c r="S19" s="513"/>
      <c r="T19" s="498"/>
      <c r="U19" s="498"/>
      <c r="V19" s="498"/>
      <c r="W19" s="498"/>
      <c r="X19" s="1156"/>
      <c r="Y19" s="1357"/>
      <c r="Z19" s="1394"/>
      <c r="AA19" s="482"/>
      <c r="AB19" s="482"/>
      <c r="AC19" s="482"/>
      <c r="AD19" s="482"/>
      <c r="AE19" s="482"/>
      <c r="AF19" s="482"/>
    </row>
    <row r="20" spans="1:35" s="450" customFormat="1" ht="17.25" customHeight="1" x14ac:dyDescent="0.2">
      <c r="A20" s="480"/>
      <c r="B20" s="512"/>
      <c r="C20" s="513"/>
      <c r="D20" s="498"/>
      <c r="E20" s="498"/>
      <c r="F20" s="500"/>
      <c r="G20" s="515"/>
      <c r="H20" s="503"/>
      <c r="I20" s="498"/>
      <c r="J20" s="498"/>
      <c r="K20" s="503"/>
      <c r="L20" s="503"/>
      <c r="M20" s="503"/>
      <c r="N20" s="503"/>
      <c r="O20" s="503"/>
      <c r="P20" s="503"/>
      <c r="Q20" s="503"/>
      <c r="R20" s="515"/>
      <c r="S20" s="513"/>
      <c r="T20" s="498"/>
      <c r="U20" s="498"/>
      <c r="V20" s="498"/>
      <c r="W20" s="498"/>
      <c r="X20" s="1156"/>
      <c r="Y20" s="1357"/>
      <c r="Z20" s="1394"/>
      <c r="AA20" s="482"/>
      <c r="AB20" s="482"/>
      <c r="AC20" s="482"/>
      <c r="AD20" s="482"/>
      <c r="AE20" s="482"/>
      <c r="AF20" s="482"/>
    </row>
    <row r="21" spans="1:35" s="450" customFormat="1" ht="17.25" customHeight="1" x14ac:dyDescent="0.2">
      <c r="A21" s="480"/>
      <c r="B21" s="512"/>
      <c r="C21" s="513"/>
      <c r="D21" s="498"/>
      <c r="E21" s="498"/>
      <c r="F21" s="500"/>
      <c r="G21" s="515"/>
      <c r="H21" s="503"/>
      <c r="I21" s="498"/>
      <c r="J21" s="498"/>
      <c r="K21" s="503"/>
      <c r="L21" s="503"/>
      <c r="M21" s="503"/>
      <c r="N21" s="503"/>
      <c r="O21" s="503"/>
      <c r="P21" s="503"/>
      <c r="Q21" s="503"/>
      <c r="R21" s="515"/>
      <c r="S21" s="513"/>
      <c r="T21" s="498"/>
      <c r="U21" s="498"/>
      <c r="V21" s="498"/>
      <c r="W21" s="498"/>
      <c r="X21" s="1156"/>
      <c r="Y21" s="1357"/>
      <c r="Z21" s="1394"/>
      <c r="AA21" s="482"/>
      <c r="AB21" s="482"/>
      <c r="AC21" s="482"/>
      <c r="AD21" s="482"/>
      <c r="AE21" s="482"/>
      <c r="AF21" s="482"/>
    </row>
    <row r="22" spans="1:35" s="450" customFormat="1" ht="17.25" customHeight="1" x14ac:dyDescent="0.2">
      <c r="A22" s="480"/>
      <c r="B22" s="512"/>
      <c r="C22" s="513"/>
      <c r="D22" s="498"/>
      <c r="E22" s="498"/>
      <c r="F22" s="500"/>
      <c r="G22" s="515"/>
      <c r="H22" s="503"/>
      <c r="I22" s="498"/>
      <c r="J22" s="498"/>
      <c r="K22" s="503"/>
      <c r="L22" s="503"/>
      <c r="M22" s="503"/>
      <c r="N22" s="503"/>
      <c r="O22" s="503"/>
      <c r="P22" s="503"/>
      <c r="Q22" s="503"/>
      <c r="R22" s="515"/>
      <c r="S22" s="513"/>
      <c r="T22" s="498"/>
      <c r="U22" s="498"/>
      <c r="V22" s="498"/>
      <c r="W22" s="498"/>
      <c r="X22" s="1156"/>
      <c r="Y22" s="1357"/>
      <c r="Z22" s="1394"/>
      <c r="AA22" s="482"/>
      <c r="AB22" s="482"/>
      <c r="AC22" s="482"/>
      <c r="AD22" s="482"/>
      <c r="AE22" s="482"/>
      <c r="AF22" s="482"/>
    </row>
    <row r="23" spans="1:35" s="450" customFormat="1" ht="17.25" customHeight="1" x14ac:dyDescent="0.2">
      <c r="A23" s="483"/>
      <c r="B23" s="484"/>
      <c r="C23" s="513"/>
      <c r="D23" s="498"/>
      <c r="E23" s="498"/>
      <c r="F23" s="500"/>
      <c r="G23" s="515"/>
      <c r="H23" s="503"/>
      <c r="I23" s="498"/>
      <c r="J23" s="498"/>
      <c r="K23" s="503"/>
      <c r="L23" s="503"/>
      <c r="M23" s="503"/>
      <c r="N23" s="503"/>
      <c r="O23" s="503"/>
      <c r="P23" s="1146"/>
      <c r="Q23" s="503"/>
      <c r="R23" s="515"/>
      <c r="S23" s="513"/>
      <c r="T23" s="498"/>
      <c r="U23" s="498"/>
      <c r="V23" s="498"/>
      <c r="W23" s="498"/>
      <c r="X23" s="1156"/>
      <c r="Y23" s="1358"/>
      <c r="Z23" s="1395"/>
      <c r="AA23" s="482"/>
      <c r="AB23" s="482"/>
      <c r="AC23" s="482"/>
      <c r="AD23" s="482"/>
      <c r="AE23" s="482"/>
      <c r="AF23" s="482"/>
    </row>
    <row r="24" spans="1:35" s="450" customFormat="1" ht="17.25" customHeight="1" x14ac:dyDescent="0.2">
      <c r="A24" s="483"/>
      <c r="B24" s="484"/>
      <c r="C24" s="513"/>
      <c r="D24" s="498"/>
      <c r="E24" s="498"/>
      <c r="F24" s="500"/>
      <c r="G24" s="515"/>
      <c r="H24" s="503"/>
      <c r="I24" s="498"/>
      <c r="J24" s="498"/>
      <c r="K24" s="503"/>
      <c r="L24" s="503"/>
      <c r="M24" s="503"/>
      <c r="N24" s="503"/>
      <c r="O24" s="503"/>
      <c r="P24" s="1146"/>
      <c r="Q24" s="503"/>
      <c r="R24" s="515"/>
      <c r="S24" s="513"/>
      <c r="T24" s="498"/>
      <c r="U24" s="498"/>
      <c r="V24" s="498"/>
      <c r="W24" s="498"/>
      <c r="X24" s="1156"/>
      <c r="Y24" s="1358"/>
      <c r="Z24" s="1395"/>
      <c r="AA24" s="482"/>
      <c r="AB24" s="482"/>
      <c r="AC24" s="482"/>
      <c r="AD24" s="482"/>
      <c r="AE24" s="482"/>
      <c r="AF24" s="482"/>
    </row>
    <row r="25" spans="1:35" s="450" customFormat="1" ht="17.25" customHeight="1" x14ac:dyDescent="0.2">
      <c r="A25" s="483"/>
      <c r="B25" s="484"/>
      <c r="C25" s="513"/>
      <c r="D25" s="498"/>
      <c r="E25" s="498"/>
      <c r="F25" s="500"/>
      <c r="G25" s="515"/>
      <c r="H25" s="503"/>
      <c r="I25" s="498"/>
      <c r="J25" s="498"/>
      <c r="K25" s="503"/>
      <c r="L25" s="503"/>
      <c r="M25" s="503"/>
      <c r="N25" s="503"/>
      <c r="O25" s="503"/>
      <c r="P25" s="1146"/>
      <c r="Q25" s="503"/>
      <c r="R25" s="515"/>
      <c r="S25" s="513"/>
      <c r="T25" s="498"/>
      <c r="U25" s="498"/>
      <c r="V25" s="498"/>
      <c r="W25" s="498"/>
      <c r="X25" s="1156"/>
      <c r="Y25" s="1358"/>
      <c r="Z25" s="1395"/>
      <c r="AA25" s="482"/>
      <c r="AB25" s="482"/>
      <c r="AC25" s="482"/>
      <c r="AD25" s="482"/>
      <c r="AE25" s="482"/>
      <c r="AF25" s="482"/>
    </row>
    <row r="26" spans="1:35" s="487" customFormat="1" ht="17.25" customHeight="1" x14ac:dyDescent="0.2">
      <c r="A26" s="483"/>
      <c r="B26" s="484"/>
      <c r="C26" s="513"/>
      <c r="D26" s="498"/>
      <c r="E26" s="498"/>
      <c r="F26" s="500"/>
      <c r="G26" s="515"/>
      <c r="H26" s="503"/>
      <c r="I26" s="498"/>
      <c r="J26" s="498"/>
      <c r="K26" s="503"/>
      <c r="L26" s="503"/>
      <c r="M26" s="503"/>
      <c r="N26" s="503"/>
      <c r="O26" s="503"/>
      <c r="P26" s="1146"/>
      <c r="Q26" s="503"/>
      <c r="R26" s="515"/>
      <c r="S26" s="513"/>
      <c r="T26" s="498"/>
      <c r="U26" s="498"/>
      <c r="V26" s="498"/>
      <c r="W26" s="498"/>
      <c r="X26" s="1156"/>
      <c r="Y26" s="1358"/>
      <c r="Z26" s="1395"/>
      <c r="AA26" s="486"/>
      <c r="AB26" s="486"/>
      <c r="AC26" s="486"/>
      <c r="AD26" s="486"/>
      <c r="AE26" s="486"/>
      <c r="AF26" s="486"/>
      <c r="AI26" s="450"/>
    </row>
    <row r="27" spans="1:35" s="487" customFormat="1" ht="17.25" customHeight="1" x14ac:dyDescent="0.2">
      <c r="A27" s="483"/>
      <c r="B27" s="484"/>
      <c r="C27" s="513"/>
      <c r="D27" s="498"/>
      <c r="E27" s="498"/>
      <c r="F27" s="500"/>
      <c r="G27" s="515"/>
      <c r="H27" s="503"/>
      <c r="I27" s="498"/>
      <c r="J27" s="498"/>
      <c r="K27" s="503"/>
      <c r="L27" s="503"/>
      <c r="M27" s="503"/>
      <c r="N27" s="503"/>
      <c r="O27" s="503"/>
      <c r="P27" s="1146"/>
      <c r="Q27" s="503"/>
      <c r="R27" s="515"/>
      <c r="S27" s="513"/>
      <c r="T27" s="498"/>
      <c r="U27" s="498"/>
      <c r="V27" s="498"/>
      <c r="W27" s="498"/>
      <c r="X27" s="1156"/>
      <c r="Y27" s="1358"/>
      <c r="Z27" s="1395"/>
      <c r="AA27" s="486"/>
      <c r="AB27" s="486"/>
      <c r="AC27" s="486"/>
      <c r="AD27" s="486"/>
      <c r="AE27" s="486"/>
      <c r="AF27" s="486"/>
      <c r="AI27" s="450"/>
    </row>
    <row r="28" spans="1:35" s="487" customFormat="1" ht="17.25" customHeight="1" x14ac:dyDescent="0.2">
      <c r="A28" s="483"/>
      <c r="B28" s="484"/>
      <c r="C28" s="513"/>
      <c r="D28" s="498"/>
      <c r="E28" s="498"/>
      <c r="F28" s="500"/>
      <c r="G28" s="515"/>
      <c r="H28" s="503"/>
      <c r="I28" s="498"/>
      <c r="J28" s="498"/>
      <c r="K28" s="503"/>
      <c r="L28" s="503"/>
      <c r="M28" s="503"/>
      <c r="N28" s="503"/>
      <c r="O28" s="503"/>
      <c r="P28" s="1146"/>
      <c r="Q28" s="503"/>
      <c r="R28" s="515"/>
      <c r="S28" s="513"/>
      <c r="T28" s="498"/>
      <c r="U28" s="498"/>
      <c r="V28" s="498"/>
      <c r="W28" s="498"/>
      <c r="X28" s="1156"/>
      <c r="Y28" s="1358"/>
      <c r="Z28" s="1395"/>
      <c r="AA28" s="486"/>
      <c r="AB28" s="486"/>
      <c r="AC28" s="486"/>
      <c r="AD28" s="486"/>
      <c r="AE28" s="486"/>
      <c r="AF28" s="486"/>
      <c r="AI28" s="450"/>
    </row>
    <row r="29" spans="1:35" s="450" customFormat="1" ht="17.25" customHeight="1" x14ac:dyDescent="0.2">
      <c r="A29" s="480"/>
      <c r="B29" s="512"/>
      <c r="C29" s="513"/>
      <c r="D29" s="498"/>
      <c r="E29" s="498"/>
      <c r="F29" s="500"/>
      <c r="G29" s="515"/>
      <c r="H29" s="503"/>
      <c r="I29" s="498"/>
      <c r="J29" s="498"/>
      <c r="K29" s="503"/>
      <c r="L29" s="503"/>
      <c r="M29" s="503"/>
      <c r="N29" s="503"/>
      <c r="O29" s="503"/>
      <c r="P29" s="503"/>
      <c r="Q29" s="503"/>
      <c r="R29" s="515"/>
      <c r="S29" s="513"/>
      <c r="T29" s="498"/>
      <c r="U29" s="498"/>
      <c r="V29" s="498"/>
      <c r="W29" s="498"/>
      <c r="X29" s="1156"/>
      <c r="Y29" s="1357"/>
      <c r="Z29" s="1394"/>
      <c r="AA29" s="482"/>
      <c r="AB29" s="482"/>
      <c r="AC29" s="482"/>
      <c r="AD29" s="482"/>
      <c r="AE29" s="482"/>
      <c r="AF29" s="482"/>
    </row>
    <row r="30" spans="1:35" s="450" customFormat="1" ht="17.25" customHeight="1" x14ac:dyDescent="0.2">
      <c r="A30" s="483"/>
      <c r="B30" s="512"/>
      <c r="C30" s="513"/>
      <c r="D30" s="498"/>
      <c r="E30" s="498"/>
      <c r="F30" s="500"/>
      <c r="G30" s="501"/>
      <c r="H30" s="503"/>
      <c r="I30" s="514"/>
      <c r="J30" s="498"/>
      <c r="K30" s="503"/>
      <c r="L30" s="503"/>
      <c r="M30" s="503"/>
      <c r="N30" s="503"/>
      <c r="O30" s="503"/>
      <c r="P30" s="503"/>
      <c r="Q30" s="503"/>
      <c r="R30" s="515"/>
      <c r="S30" s="513"/>
      <c r="T30" s="498"/>
      <c r="U30" s="498"/>
      <c r="V30" s="498"/>
      <c r="W30" s="498"/>
      <c r="X30" s="1156"/>
      <c r="Y30" s="1156"/>
      <c r="Z30" s="1393"/>
      <c r="AA30" s="485" t="str">
        <f>IF(COUNTA(B30:Y30)&lt;21,"x","")</f>
        <v>x</v>
      </c>
      <c r="AB30" s="482"/>
      <c r="AC30" s="482"/>
      <c r="AD30" s="482"/>
      <c r="AE30" s="482"/>
      <c r="AF30" s="482"/>
      <c r="AG30" s="482"/>
    </row>
    <row r="31" spans="1:35" s="487" customFormat="1" ht="17.25" customHeight="1" x14ac:dyDescent="0.2">
      <c r="A31" s="483"/>
      <c r="B31" s="484"/>
      <c r="C31" s="513"/>
      <c r="D31" s="498"/>
      <c r="E31" s="498"/>
      <c r="F31" s="500"/>
      <c r="G31" s="515"/>
      <c r="H31" s="503"/>
      <c r="I31" s="498"/>
      <c r="J31" s="498"/>
      <c r="K31" s="503"/>
      <c r="L31" s="503"/>
      <c r="M31" s="503"/>
      <c r="N31" s="503"/>
      <c r="O31" s="503"/>
      <c r="P31" s="1146"/>
      <c r="Q31" s="503"/>
      <c r="R31" s="515"/>
      <c r="S31" s="513"/>
      <c r="T31" s="498"/>
      <c r="U31" s="498"/>
      <c r="V31" s="498"/>
      <c r="W31" s="498"/>
      <c r="X31" s="1156"/>
      <c r="Y31" s="1358"/>
      <c r="Z31" s="1395"/>
      <c r="AA31" s="486"/>
      <c r="AB31" s="486"/>
      <c r="AC31" s="486"/>
      <c r="AD31" s="486"/>
      <c r="AE31" s="486"/>
      <c r="AF31" s="486"/>
      <c r="AI31" s="450"/>
    </row>
    <row r="32" spans="1:35" s="487" customFormat="1" ht="17.25" customHeight="1" x14ac:dyDescent="0.2">
      <c r="A32" s="483"/>
      <c r="B32" s="512"/>
      <c r="C32" s="513"/>
      <c r="D32" s="498"/>
      <c r="E32" s="498"/>
      <c r="F32" s="500"/>
      <c r="G32" s="501"/>
      <c r="H32" s="503"/>
      <c r="I32" s="514"/>
      <c r="J32" s="498"/>
      <c r="K32" s="503"/>
      <c r="L32" s="503"/>
      <c r="M32" s="503"/>
      <c r="N32" s="503"/>
      <c r="O32" s="503"/>
      <c r="P32" s="503"/>
      <c r="Q32" s="503"/>
      <c r="R32" s="515"/>
      <c r="S32" s="513"/>
      <c r="T32" s="498"/>
      <c r="U32" s="498"/>
      <c r="V32" s="498"/>
      <c r="W32" s="498"/>
      <c r="X32" s="1156"/>
      <c r="Y32" s="1156"/>
      <c r="Z32" s="1393"/>
      <c r="AA32" s="485" t="str">
        <f>IF(COUNTA(B32:Y32)&lt;21,"x","")</f>
        <v>x</v>
      </c>
      <c r="AB32" s="486"/>
      <c r="AC32" s="486"/>
      <c r="AD32" s="486"/>
      <c r="AE32" s="486"/>
      <c r="AF32" s="486"/>
      <c r="AG32" s="486"/>
      <c r="AI32" s="450"/>
    </row>
    <row r="33" spans="1:35" s="487" customFormat="1" ht="17.25" customHeight="1" x14ac:dyDescent="0.2">
      <c r="A33" s="488"/>
      <c r="B33" s="489"/>
      <c r="C33" s="1162"/>
      <c r="D33" s="491"/>
      <c r="E33" s="491"/>
      <c r="F33" s="492"/>
      <c r="G33" s="491"/>
      <c r="H33" s="491"/>
      <c r="I33" s="491"/>
      <c r="J33" s="491"/>
      <c r="K33" s="491"/>
      <c r="L33" s="491"/>
      <c r="M33" s="491"/>
      <c r="N33" s="491"/>
      <c r="O33" s="493"/>
      <c r="P33" s="493"/>
      <c r="Q33" s="491"/>
      <c r="R33" s="491"/>
      <c r="S33" s="490"/>
      <c r="T33" s="491"/>
      <c r="U33" s="494"/>
      <c r="V33" s="494"/>
      <c r="W33" s="494"/>
      <c r="X33" s="1157"/>
      <c r="Y33" s="1157"/>
      <c r="Z33" s="1374"/>
      <c r="AA33" s="485"/>
      <c r="AB33" s="486"/>
      <c r="AC33" s="486"/>
      <c r="AD33" s="486"/>
      <c r="AE33" s="486"/>
      <c r="AF33" s="486"/>
      <c r="AG33" s="486"/>
      <c r="AI33" s="450"/>
    </row>
    <row r="34" spans="1:35" s="450" customFormat="1" ht="17.25" customHeight="1" x14ac:dyDescent="0.2">
      <c r="A34" s="472" t="s">
        <v>262</v>
      </c>
      <c r="B34" s="473"/>
      <c r="C34" s="474"/>
      <c r="D34" s="475"/>
      <c r="E34" s="475"/>
      <c r="F34" s="476"/>
      <c r="G34" s="475"/>
      <c r="H34" s="475"/>
      <c r="I34" s="475"/>
      <c r="J34" s="475"/>
      <c r="K34" s="475"/>
      <c r="L34" s="475"/>
      <c r="M34" s="475"/>
      <c r="N34" s="475"/>
      <c r="O34" s="477"/>
      <c r="P34" s="477"/>
      <c r="Q34" s="475"/>
      <c r="R34" s="475"/>
      <c r="S34" s="474"/>
      <c r="T34" s="475"/>
      <c r="U34" s="478"/>
      <c r="V34" s="478"/>
      <c r="W34" s="478"/>
      <c r="X34" s="1158"/>
      <c r="Y34" s="1158"/>
      <c r="Z34" s="1373"/>
      <c r="AA34" s="453"/>
      <c r="AB34" s="479"/>
      <c r="AC34" s="479"/>
      <c r="AD34" s="479"/>
      <c r="AE34" s="479"/>
      <c r="AF34" s="479"/>
      <c r="AG34" s="479"/>
    </row>
    <row r="35" spans="1:35" s="487" customFormat="1" ht="17.25" customHeight="1" x14ac:dyDescent="0.2">
      <c r="A35" s="483"/>
      <c r="B35" s="516" t="str">
        <f>Eigenmischungen!AB2</f>
        <v>Mischung ...</v>
      </c>
      <c r="C35" s="517">
        <f>ROUND(Eigenmischungen!AB27*10,-1)</f>
        <v>0</v>
      </c>
      <c r="D35" s="499">
        <f>ROUND(Eigenmischungen!AB28,1)</f>
        <v>0</v>
      </c>
      <c r="E35" s="499">
        <f>ROUND(Eigenmischungen!AB29,1)</f>
        <v>0</v>
      </c>
      <c r="F35" s="518">
        <f>ROUND(Eigenmischungen!AB30,0)</f>
        <v>0</v>
      </c>
      <c r="G35" s="519">
        <f>ROUND(Eigenmischungen!AB31,2)</f>
        <v>0</v>
      </c>
      <c r="H35" s="502">
        <f>ROUND(Eigenmischungen!AB32,0)</f>
        <v>0</v>
      </c>
      <c r="I35" s="499">
        <f>ROUND(Eigenmischungen!AB33,1)</f>
        <v>0</v>
      </c>
      <c r="J35" s="499">
        <f>ROUND(Eigenmischungen!AB34,1)</f>
        <v>0</v>
      </c>
      <c r="K35" s="502">
        <f>ROUND(Eigenmischungen!AB35,0)</f>
        <v>0</v>
      </c>
      <c r="L35" s="502">
        <f>ROUND(Eigenmischungen!AB36,0)</f>
        <v>0</v>
      </c>
      <c r="M35" s="502">
        <f>ROUND(Eigenmischungen!AB37,0)</f>
        <v>0</v>
      </c>
      <c r="N35" s="502">
        <f>ROUND(Eigenmischungen!AB38,0)</f>
        <v>0</v>
      </c>
      <c r="O35" s="502">
        <f>ROUND(Eigenmischungen!AB39,0)</f>
        <v>0</v>
      </c>
      <c r="P35" s="502">
        <f>ROUND(Eigenmischungen!AB40,0)</f>
        <v>0</v>
      </c>
      <c r="Q35" s="502">
        <f>ROUND(Eigenmischungen!AB41,0)</f>
        <v>0</v>
      </c>
      <c r="R35" s="519">
        <f>ROUND(Eigenmischungen!AB42,2)</f>
        <v>0</v>
      </c>
      <c r="S35" s="517">
        <f>ROUND(Eigenmischungen!AB43,0)</f>
        <v>0</v>
      </c>
      <c r="T35" s="499">
        <f>ROUND(Eigenmischungen!AB44,1)</f>
        <v>0</v>
      </c>
      <c r="U35" s="499">
        <f>ROUND(Eigenmischungen!AB45,1)</f>
        <v>0</v>
      </c>
      <c r="V35" s="499">
        <f>ROUND(Eigenmischungen!AB46,1)</f>
        <v>0</v>
      </c>
      <c r="W35" s="499">
        <f>ROUND(Eigenmischungen!AB47,1)</f>
        <v>0</v>
      </c>
      <c r="X35" s="1160">
        <f>ROUND(Eigenmischungen!AB48,1)</f>
        <v>0</v>
      </c>
      <c r="Y35" s="1160">
        <f>ROUND(Eigenmischungen!AB49,1)</f>
        <v>0</v>
      </c>
      <c r="Z35" s="1160">
        <f>ROUND(Eigenmischungen!AB26,1)</f>
        <v>0</v>
      </c>
      <c r="AA35" s="499">
        <f>ROUND(Eigenmischungen!AE47,1)</f>
        <v>0</v>
      </c>
      <c r="AB35" s="499">
        <f>ROUND(Eigenmischungen!AF47,1)</f>
        <v>0</v>
      </c>
      <c r="AC35" s="499">
        <f>ROUND(Eigenmischungen!AG47,1)</f>
        <v>0</v>
      </c>
      <c r="AD35" s="499">
        <f>ROUND(Eigenmischungen!AH47,1)</f>
        <v>0</v>
      </c>
      <c r="AE35" s="499">
        <f>ROUND(Eigenmischungen!AI47,1)</f>
        <v>0</v>
      </c>
      <c r="AF35" s="499">
        <f>ROUND(Eigenmischungen!AJ47,1)</f>
        <v>0</v>
      </c>
      <c r="AG35" s="499">
        <f>ROUND(Eigenmischungen!AK47,1)</f>
        <v>0</v>
      </c>
      <c r="AH35" s="499"/>
      <c r="AI35" s="450"/>
    </row>
    <row r="36" spans="1:35" s="487" customFormat="1" ht="17.25" customHeight="1" x14ac:dyDescent="0.2">
      <c r="A36" s="483"/>
      <c r="B36" s="516" t="str">
        <f>Eigenmischungen!AC2</f>
        <v>Mischung ...</v>
      </c>
      <c r="C36" s="517">
        <f>ROUND(Eigenmischungen!AC27*10,-1)</f>
        <v>0</v>
      </c>
      <c r="D36" s="499">
        <f>ROUND(Eigenmischungen!AC28,1)</f>
        <v>0</v>
      </c>
      <c r="E36" s="499">
        <f>ROUND(Eigenmischungen!AC29,1)</f>
        <v>0</v>
      </c>
      <c r="F36" s="518">
        <f>ROUND(Eigenmischungen!AC30,0)</f>
        <v>0</v>
      </c>
      <c r="G36" s="519">
        <f>ROUND(Eigenmischungen!AC31,2)</f>
        <v>0</v>
      </c>
      <c r="H36" s="502">
        <f>ROUND(Eigenmischungen!AC32,0)</f>
        <v>0</v>
      </c>
      <c r="I36" s="499">
        <f>ROUND(Eigenmischungen!AC33,1)</f>
        <v>0</v>
      </c>
      <c r="J36" s="499">
        <v>-0.01</v>
      </c>
      <c r="K36" s="502">
        <f>ROUND(Eigenmischungen!AC35,0)</f>
        <v>0</v>
      </c>
      <c r="L36" s="502">
        <f>ROUND(Eigenmischungen!AC36,0)</f>
        <v>0</v>
      </c>
      <c r="M36" s="502">
        <f>ROUND(Eigenmischungen!AC37,0)</f>
        <v>0</v>
      </c>
      <c r="N36" s="502">
        <f>ROUND(Eigenmischungen!AC38,0)</f>
        <v>0</v>
      </c>
      <c r="O36" s="502">
        <f>ROUND(Eigenmischungen!AC39,0)</f>
        <v>0</v>
      </c>
      <c r="P36" s="502">
        <f>ROUND(Eigenmischungen!AC40,0)</f>
        <v>0</v>
      </c>
      <c r="Q36" s="502">
        <f>ROUND(Eigenmischungen!AC41,0)</f>
        <v>0</v>
      </c>
      <c r="R36" s="519">
        <f>ROUND(Eigenmischungen!AC42,2)</f>
        <v>0</v>
      </c>
      <c r="S36" s="517">
        <f>ROUND(Eigenmischungen!AC43,0)</f>
        <v>0</v>
      </c>
      <c r="T36" s="499">
        <f>ROUND(Eigenmischungen!AC44,1)</f>
        <v>0</v>
      </c>
      <c r="U36" s="499">
        <f>ROUND(Eigenmischungen!AC45,1)</f>
        <v>0</v>
      </c>
      <c r="V36" s="499">
        <f>ROUND(Eigenmischungen!AC46,1)</f>
        <v>0</v>
      </c>
      <c r="W36" s="499">
        <f>ROUND(Eigenmischungen!AC47,1)</f>
        <v>0</v>
      </c>
      <c r="X36" s="1160">
        <f>ROUND(Eigenmischungen!AC48,1)</f>
        <v>0</v>
      </c>
      <c r="Y36" s="1160">
        <f>ROUND(Eigenmischungen!AC49,1)</f>
        <v>0</v>
      </c>
      <c r="Z36" s="1160">
        <f>ROUND(Eigenmischungen!AC26,1)</f>
        <v>0</v>
      </c>
      <c r="AA36" s="499">
        <f>ROUND(Eigenmischungen!AF47,1)</f>
        <v>0</v>
      </c>
      <c r="AB36" s="499">
        <f>ROUND(Eigenmischungen!AG47,1)</f>
        <v>0</v>
      </c>
      <c r="AC36" s="499">
        <f>ROUND(Eigenmischungen!AH47,1)</f>
        <v>0</v>
      </c>
      <c r="AD36" s="499">
        <f>ROUND(Eigenmischungen!AI47,1)</f>
        <v>0</v>
      </c>
      <c r="AE36" s="499">
        <f>ROUND(Eigenmischungen!AJ47,1)</f>
        <v>0</v>
      </c>
      <c r="AF36" s="499">
        <f>ROUND(Eigenmischungen!AK47,1)</f>
        <v>0</v>
      </c>
      <c r="AG36" s="499">
        <f>ROUND(Eigenmischungen!AL47,1)</f>
        <v>0</v>
      </c>
      <c r="AH36" s="499"/>
      <c r="AI36" s="450"/>
    </row>
    <row r="37" spans="1:35" s="487" customFormat="1" ht="17.25" customHeight="1" x14ac:dyDescent="0.2">
      <c r="A37" s="483"/>
      <c r="B37" s="516" t="str">
        <f>Eigenmischungen!AD2</f>
        <v>Mischung ...</v>
      </c>
      <c r="C37" s="517">
        <f>ROUND(Eigenmischungen!AD27*10,-1)</f>
        <v>0</v>
      </c>
      <c r="D37" s="499">
        <f>ROUND(Eigenmischungen!AD28,1)</f>
        <v>0</v>
      </c>
      <c r="E37" s="499">
        <f>ROUND(Eigenmischungen!AD29,1)</f>
        <v>0</v>
      </c>
      <c r="F37" s="518">
        <f>ROUND(Eigenmischungen!AD30,0)</f>
        <v>0</v>
      </c>
      <c r="G37" s="519">
        <f>ROUND(Eigenmischungen!AD31,2)</f>
        <v>0</v>
      </c>
      <c r="H37" s="502">
        <f>ROUND(Eigenmischungen!AD32,0)</f>
        <v>0</v>
      </c>
      <c r="I37" s="499">
        <f>ROUND(Eigenmischungen!AD33,1)</f>
        <v>0</v>
      </c>
      <c r="J37" s="499">
        <f>ROUND(Eigenmischungen!AD34,1)</f>
        <v>0</v>
      </c>
      <c r="K37" s="502">
        <f>ROUND(Eigenmischungen!AD35,0)</f>
        <v>0</v>
      </c>
      <c r="L37" s="502">
        <f>ROUND(Eigenmischungen!AD36,0)</f>
        <v>0</v>
      </c>
      <c r="M37" s="502">
        <f>ROUND(Eigenmischungen!AD37,0)</f>
        <v>0</v>
      </c>
      <c r="N37" s="502">
        <f>ROUND(Eigenmischungen!AD38,0)</f>
        <v>0</v>
      </c>
      <c r="O37" s="502">
        <f>ROUND(Eigenmischungen!AD39,0)</f>
        <v>0</v>
      </c>
      <c r="P37" s="502">
        <f>ROUND(Eigenmischungen!AD40,0)</f>
        <v>0</v>
      </c>
      <c r="Q37" s="502">
        <f>ROUND(Eigenmischungen!AD41,0)</f>
        <v>0</v>
      </c>
      <c r="R37" s="519">
        <f>ROUND(Eigenmischungen!AD42,2)</f>
        <v>0</v>
      </c>
      <c r="S37" s="517">
        <f>ROUND(Eigenmischungen!AD43,0)</f>
        <v>0</v>
      </c>
      <c r="T37" s="499">
        <f>ROUND(Eigenmischungen!AD44,1)</f>
        <v>0</v>
      </c>
      <c r="U37" s="499">
        <f>ROUND(Eigenmischungen!AD45,1)</f>
        <v>0</v>
      </c>
      <c r="V37" s="499">
        <f>ROUND(Eigenmischungen!AD46,1)</f>
        <v>0</v>
      </c>
      <c r="W37" s="499">
        <f>ROUND(Eigenmischungen!AD47,1)</f>
        <v>0</v>
      </c>
      <c r="X37" s="1160">
        <f>ROUND(Eigenmischungen!AD48,1)</f>
        <v>0</v>
      </c>
      <c r="Y37" s="1160">
        <f>ROUND(Eigenmischungen!AD49,1)</f>
        <v>0</v>
      </c>
      <c r="Z37" s="1160">
        <f>ROUND(Eigenmischungen!AD26,1)</f>
        <v>0</v>
      </c>
      <c r="AA37" s="499">
        <f>ROUND(Eigenmischungen!AG47,1)</f>
        <v>0</v>
      </c>
      <c r="AB37" s="499">
        <f>ROUND(Eigenmischungen!AH47,1)</f>
        <v>0</v>
      </c>
      <c r="AC37" s="499">
        <f>ROUND(Eigenmischungen!AI47,1)</f>
        <v>0</v>
      </c>
      <c r="AD37" s="499">
        <f>ROUND(Eigenmischungen!AJ47,1)</f>
        <v>0</v>
      </c>
      <c r="AE37" s="499">
        <f>ROUND(Eigenmischungen!AK47,1)</f>
        <v>0</v>
      </c>
      <c r="AF37" s="499">
        <f>ROUND(Eigenmischungen!AL47,1)</f>
        <v>0</v>
      </c>
      <c r="AG37" s="499">
        <f>ROUND(Eigenmischungen!AM47,1)</f>
        <v>0</v>
      </c>
      <c r="AH37" s="499"/>
      <c r="AI37" s="450"/>
    </row>
    <row r="38" spans="1:35" s="487" customFormat="1" ht="17.25" customHeight="1" x14ac:dyDescent="0.2">
      <c r="A38" s="483"/>
      <c r="B38" s="516" t="str">
        <f>Eigenmischungen!AE2</f>
        <v>Mischung ...</v>
      </c>
      <c r="C38" s="517">
        <f>ROUND(Eigenmischungen!AE27*10,-1)</f>
        <v>0</v>
      </c>
      <c r="D38" s="499">
        <f>ROUND(Eigenmischungen!AE28,1)</f>
        <v>0</v>
      </c>
      <c r="E38" s="499">
        <f>ROUND(Eigenmischungen!AE29,1)</f>
        <v>0</v>
      </c>
      <c r="F38" s="518">
        <f>ROUND(Eigenmischungen!AE30,0)</f>
        <v>0</v>
      </c>
      <c r="G38" s="519">
        <f>ROUND(Eigenmischungen!AE31,2)</f>
        <v>0</v>
      </c>
      <c r="H38" s="502">
        <f>ROUND(Eigenmischungen!AE32,0)</f>
        <v>0</v>
      </c>
      <c r="I38" s="499">
        <f>ROUND(Eigenmischungen!AE33,1)</f>
        <v>0</v>
      </c>
      <c r="J38" s="499">
        <f>ROUND(Eigenmischungen!AE34,1)</f>
        <v>0</v>
      </c>
      <c r="K38" s="502">
        <f>ROUND(Eigenmischungen!AE35,0)</f>
        <v>0</v>
      </c>
      <c r="L38" s="502">
        <f>ROUND(Eigenmischungen!AE36,0)</f>
        <v>0</v>
      </c>
      <c r="M38" s="502">
        <f>ROUND(Eigenmischungen!AE37,0)</f>
        <v>0</v>
      </c>
      <c r="N38" s="502">
        <f>ROUND(Eigenmischungen!AE38,0)</f>
        <v>0</v>
      </c>
      <c r="O38" s="502">
        <f>ROUND(Eigenmischungen!AE39,0)</f>
        <v>0</v>
      </c>
      <c r="P38" s="502">
        <f>ROUND(Eigenmischungen!AE40,0)</f>
        <v>0</v>
      </c>
      <c r="Q38" s="502">
        <f>ROUND(Eigenmischungen!AE41,0)</f>
        <v>0</v>
      </c>
      <c r="R38" s="519">
        <f>ROUND(Eigenmischungen!AE42,2)</f>
        <v>0</v>
      </c>
      <c r="S38" s="517">
        <f>ROUND(Eigenmischungen!AE43,0)</f>
        <v>0</v>
      </c>
      <c r="T38" s="499">
        <f>ROUND(Eigenmischungen!AE44,1)</f>
        <v>0</v>
      </c>
      <c r="U38" s="499">
        <f>ROUND(Eigenmischungen!AE45,1)</f>
        <v>0</v>
      </c>
      <c r="V38" s="499">
        <f>ROUND(Eigenmischungen!AE46,1)</f>
        <v>0</v>
      </c>
      <c r="W38" s="499">
        <f>ROUND(Eigenmischungen!AE47,1)</f>
        <v>0</v>
      </c>
      <c r="X38" s="1160">
        <f>ROUND(Eigenmischungen!AE48,1)</f>
        <v>0</v>
      </c>
      <c r="Y38" s="1160">
        <f>ROUND(Eigenmischungen!AE49,1)</f>
        <v>0</v>
      </c>
      <c r="Z38" s="1160">
        <f>ROUND(Eigenmischungen!AE26,1)</f>
        <v>0</v>
      </c>
      <c r="AA38" s="499">
        <f>ROUND(Eigenmischungen!AH47,1)</f>
        <v>0</v>
      </c>
      <c r="AB38" s="499">
        <f>ROUND(Eigenmischungen!AI47,1)</f>
        <v>0</v>
      </c>
      <c r="AC38" s="499">
        <f>ROUND(Eigenmischungen!AJ47,1)</f>
        <v>0</v>
      </c>
      <c r="AD38" s="499">
        <f>ROUND(Eigenmischungen!AK47,1)</f>
        <v>0</v>
      </c>
      <c r="AE38" s="499">
        <f>ROUND(Eigenmischungen!AL47,1)</f>
        <v>0</v>
      </c>
      <c r="AF38" s="499">
        <f>ROUND(Eigenmischungen!AM47,1)</f>
        <v>0</v>
      </c>
      <c r="AG38" s="499">
        <f>ROUND(Eigenmischungen!AN47,1)</f>
        <v>0</v>
      </c>
      <c r="AH38" s="499"/>
      <c r="AI38" s="450"/>
    </row>
    <row r="39" spans="1:35" s="487" customFormat="1" ht="17.25" customHeight="1" x14ac:dyDescent="0.2">
      <c r="A39" s="483"/>
      <c r="B39" s="516" t="str">
        <f>Eigenmischungen!AF2</f>
        <v>Mischung ...</v>
      </c>
      <c r="C39" s="517">
        <f>ROUND(Eigenmischungen!AF27*10,-1)</f>
        <v>0</v>
      </c>
      <c r="D39" s="499">
        <f>ROUND(Eigenmischungen!AF28,1)</f>
        <v>0</v>
      </c>
      <c r="E39" s="499">
        <f>ROUND(Eigenmischungen!AF29,1)</f>
        <v>0</v>
      </c>
      <c r="F39" s="518">
        <f>ROUND(Eigenmischungen!AF30,0)</f>
        <v>0</v>
      </c>
      <c r="G39" s="519">
        <f>ROUND(Eigenmischungen!AF31,2)</f>
        <v>0</v>
      </c>
      <c r="H39" s="502">
        <f>ROUND(Eigenmischungen!AF32,0)</f>
        <v>0</v>
      </c>
      <c r="I39" s="499">
        <f>ROUND(Eigenmischungen!AF33,1)</f>
        <v>0</v>
      </c>
      <c r="J39" s="499">
        <f>ROUND(Eigenmischungen!AF34,1)</f>
        <v>0</v>
      </c>
      <c r="K39" s="502">
        <f>ROUND(Eigenmischungen!AF35,0)</f>
        <v>0</v>
      </c>
      <c r="L39" s="502">
        <f>ROUND(Eigenmischungen!AF36,0)</f>
        <v>0</v>
      </c>
      <c r="M39" s="502">
        <f>ROUND(Eigenmischungen!AF37,0)</f>
        <v>0</v>
      </c>
      <c r="N39" s="502">
        <f>ROUND(Eigenmischungen!AF38,0)</f>
        <v>0</v>
      </c>
      <c r="O39" s="502">
        <f>ROUND(Eigenmischungen!AF39,0)</f>
        <v>0</v>
      </c>
      <c r="P39" s="502">
        <f>ROUND(Eigenmischungen!AF40,0)</f>
        <v>0</v>
      </c>
      <c r="Q39" s="502">
        <f>ROUND(Eigenmischungen!AF41,0)</f>
        <v>0</v>
      </c>
      <c r="R39" s="519">
        <f>ROUND(Eigenmischungen!AF42,2)</f>
        <v>0</v>
      </c>
      <c r="S39" s="517">
        <f>ROUND(Eigenmischungen!AF43,0)</f>
        <v>0</v>
      </c>
      <c r="T39" s="499">
        <f>ROUND(Eigenmischungen!AF44,1)</f>
        <v>0</v>
      </c>
      <c r="U39" s="499">
        <f>ROUND(Eigenmischungen!AF45,1)</f>
        <v>0</v>
      </c>
      <c r="V39" s="499">
        <f>ROUND(Eigenmischungen!AF46,1)</f>
        <v>0</v>
      </c>
      <c r="W39" s="499">
        <f>ROUND(Eigenmischungen!AF47,1)</f>
        <v>0</v>
      </c>
      <c r="X39" s="1160">
        <f>ROUND(Eigenmischungen!AF48,1)</f>
        <v>0</v>
      </c>
      <c r="Y39" s="1160">
        <f>ROUND(Eigenmischungen!AF49,1)</f>
        <v>0</v>
      </c>
      <c r="Z39" s="1160">
        <f>ROUND(Eigenmischungen!AF26,1)</f>
        <v>0</v>
      </c>
      <c r="AA39" s="499">
        <f>ROUND(Eigenmischungen!AI47,1)</f>
        <v>0</v>
      </c>
      <c r="AB39" s="499">
        <f>ROUND(Eigenmischungen!AJ47,1)</f>
        <v>0</v>
      </c>
      <c r="AC39" s="499">
        <f>ROUND(Eigenmischungen!AK47,1)</f>
        <v>0</v>
      </c>
      <c r="AD39" s="499">
        <f>ROUND(Eigenmischungen!AL47,1)</f>
        <v>0</v>
      </c>
      <c r="AE39" s="499">
        <f>ROUND(Eigenmischungen!AM47,1)</f>
        <v>0</v>
      </c>
      <c r="AF39" s="499">
        <f>ROUND(Eigenmischungen!AN47,1)</f>
        <v>0</v>
      </c>
      <c r="AG39" s="499">
        <f>ROUND(Eigenmischungen!AO47,1)</f>
        <v>0</v>
      </c>
      <c r="AH39" s="499"/>
      <c r="AI39" s="450"/>
    </row>
    <row r="40" spans="1:35" s="487" customFormat="1" ht="17.25" customHeight="1" x14ac:dyDescent="0.2">
      <c r="A40" s="483"/>
      <c r="B40" s="516" t="str">
        <f>Eigenmischungen!AG2</f>
        <v>Mischung ...</v>
      </c>
      <c r="C40" s="517">
        <f>ROUND(Eigenmischungen!AG27*10,-1)</f>
        <v>0</v>
      </c>
      <c r="D40" s="499">
        <f>ROUND(Eigenmischungen!AG28,1)</f>
        <v>0</v>
      </c>
      <c r="E40" s="499">
        <f>ROUND(Eigenmischungen!AG29,1)</f>
        <v>0</v>
      </c>
      <c r="F40" s="518">
        <f>ROUND(Eigenmischungen!AG30,0)</f>
        <v>0</v>
      </c>
      <c r="G40" s="519">
        <f>ROUND(Eigenmischungen!AG31,2)</f>
        <v>0</v>
      </c>
      <c r="H40" s="502">
        <f>ROUND(Eigenmischungen!AG32,0)</f>
        <v>0</v>
      </c>
      <c r="I40" s="499">
        <f>ROUND(Eigenmischungen!AG33,1)</f>
        <v>0</v>
      </c>
      <c r="J40" s="499">
        <f>ROUND(Eigenmischungen!AG34,1)</f>
        <v>0</v>
      </c>
      <c r="K40" s="502">
        <f>ROUND(Eigenmischungen!AG35,0)</f>
        <v>0</v>
      </c>
      <c r="L40" s="502">
        <f>ROUND(Eigenmischungen!AG36,0)</f>
        <v>0</v>
      </c>
      <c r="M40" s="502">
        <f>ROUND(Eigenmischungen!AG37,0)</f>
        <v>0</v>
      </c>
      <c r="N40" s="502">
        <f>ROUND(Eigenmischungen!AG38,0)</f>
        <v>0</v>
      </c>
      <c r="O40" s="502">
        <f>ROUND(Eigenmischungen!AG39,0)</f>
        <v>0</v>
      </c>
      <c r="P40" s="502">
        <f>ROUND(Eigenmischungen!AG40,0)</f>
        <v>0</v>
      </c>
      <c r="Q40" s="502">
        <f>ROUND(Eigenmischungen!AG41,0)</f>
        <v>0</v>
      </c>
      <c r="R40" s="519">
        <f>ROUND(Eigenmischungen!AG42,2)</f>
        <v>0</v>
      </c>
      <c r="S40" s="517">
        <f>ROUND(Eigenmischungen!AG43,0)</f>
        <v>0</v>
      </c>
      <c r="T40" s="499">
        <f>ROUND(Eigenmischungen!AG44,1)</f>
        <v>0</v>
      </c>
      <c r="U40" s="499">
        <f>ROUND(Eigenmischungen!AG45,1)</f>
        <v>0</v>
      </c>
      <c r="V40" s="499">
        <f>ROUND(Eigenmischungen!AG46,1)</f>
        <v>0</v>
      </c>
      <c r="W40" s="499">
        <f>ROUND(Eigenmischungen!AG47,1)</f>
        <v>0</v>
      </c>
      <c r="X40" s="1160">
        <f>ROUND(Eigenmischungen!AG48,1)</f>
        <v>0</v>
      </c>
      <c r="Y40" s="1160">
        <f>ROUND(Eigenmischungen!AG49,1)</f>
        <v>0</v>
      </c>
      <c r="Z40" s="1160">
        <f>ROUND(Eigenmischungen!AG26,1)</f>
        <v>0</v>
      </c>
      <c r="AA40" s="499">
        <f>ROUND(Eigenmischungen!AJ47,1)</f>
        <v>0</v>
      </c>
      <c r="AB40" s="499">
        <f>ROUND(Eigenmischungen!AK47,1)</f>
        <v>0</v>
      </c>
      <c r="AC40" s="499">
        <f>ROUND(Eigenmischungen!AL47,1)</f>
        <v>0</v>
      </c>
      <c r="AD40" s="499">
        <f>ROUND(Eigenmischungen!AM47,1)</f>
        <v>0</v>
      </c>
      <c r="AE40" s="499">
        <f>ROUND(Eigenmischungen!AN47,1)</f>
        <v>0</v>
      </c>
      <c r="AF40" s="499">
        <f>ROUND(Eigenmischungen!AO47,1)</f>
        <v>0</v>
      </c>
      <c r="AG40" s="499">
        <f>ROUND(Eigenmischungen!AP47,1)</f>
        <v>0</v>
      </c>
      <c r="AH40" s="499"/>
      <c r="AI40" s="450"/>
    </row>
    <row r="41" spans="1:35" s="487" customFormat="1" ht="17.25" customHeight="1" x14ac:dyDescent="0.2">
      <c r="A41" s="483"/>
      <c r="B41" s="516" t="str">
        <f>Eigenmischungen!AH2</f>
        <v>Mischung ...</v>
      </c>
      <c r="C41" s="517">
        <f>ROUND(Eigenmischungen!AH27*10,-1)</f>
        <v>0</v>
      </c>
      <c r="D41" s="499">
        <f>ROUND(Eigenmischungen!AH28,1)</f>
        <v>0</v>
      </c>
      <c r="E41" s="499">
        <f>ROUND(Eigenmischungen!AH29,1)</f>
        <v>0</v>
      </c>
      <c r="F41" s="518">
        <f>ROUND(Eigenmischungen!AH30,0)</f>
        <v>0</v>
      </c>
      <c r="G41" s="519">
        <f>ROUND(Eigenmischungen!AH31,2)</f>
        <v>0</v>
      </c>
      <c r="H41" s="502">
        <f>ROUND(Eigenmischungen!AH32,0)</f>
        <v>0</v>
      </c>
      <c r="I41" s="499">
        <f>ROUND(Eigenmischungen!AH33,1)</f>
        <v>0</v>
      </c>
      <c r="J41" s="499">
        <f>ROUND(Eigenmischungen!AH34,1)</f>
        <v>0</v>
      </c>
      <c r="K41" s="502">
        <f>ROUND(Eigenmischungen!AH35,0)</f>
        <v>0</v>
      </c>
      <c r="L41" s="502">
        <f>ROUND(Eigenmischungen!AH36,0)</f>
        <v>0</v>
      </c>
      <c r="M41" s="502">
        <f>ROUND(Eigenmischungen!AH37,0)</f>
        <v>0</v>
      </c>
      <c r="N41" s="502">
        <f>ROUND(Eigenmischungen!AH38,0)</f>
        <v>0</v>
      </c>
      <c r="O41" s="502">
        <f>ROUND(Eigenmischungen!AH39,0)</f>
        <v>0</v>
      </c>
      <c r="P41" s="502">
        <f>ROUND(Eigenmischungen!AH40,0)</f>
        <v>0</v>
      </c>
      <c r="Q41" s="502">
        <f>ROUND(Eigenmischungen!AH41,0)</f>
        <v>0</v>
      </c>
      <c r="R41" s="519">
        <f>ROUND(Eigenmischungen!AH42,2)</f>
        <v>0</v>
      </c>
      <c r="S41" s="517">
        <f>ROUND(Eigenmischungen!AH43,0)</f>
        <v>0</v>
      </c>
      <c r="T41" s="499">
        <f>ROUND(Eigenmischungen!AH44,1)</f>
        <v>0</v>
      </c>
      <c r="U41" s="499">
        <f>ROUND(Eigenmischungen!AH45,1)</f>
        <v>0</v>
      </c>
      <c r="V41" s="499">
        <f>ROUND(Eigenmischungen!AH46,1)</f>
        <v>0</v>
      </c>
      <c r="W41" s="499">
        <f>ROUND(Eigenmischungen!AH47,1)</f>
        <v>0</v>
      </c>
      <c r="X41" s="1160">
        <f>ROUND(Eigenmischungen!AH48,1)</f>
        <v>0</v>
      </c>
      <c r="Y41" s="1160">
        <f>ROUND(Eigenmischungen!AH49,1)</f>
        <v>0</v>
      </c>
      <c r="Z41" s="1160">
        <f>ROUND(Eigenmischungen!AH26,1)</f>
        <v>0</v>
      </c>
      <c r="AA41" s="499">
        <f>ROUND(Eigenmischungen!AK47,1)</f>
        <v>0</v>
      </c>
      <c r="AB41" s="499">
        <f>ROUND(Eigenmischungen!AL47,1)</f>
        <v>0</v>
      </c>
      <c r="AC41" s="499">
        <f>ROUND(Eigenmischungen!AM47,1)</f>
        <v>0</v>
      </c>
      <c r="AD41" s="499">
        <f>ROUND(Eigenmischungen!AN47,1)</f>
        <v>0</v>
      </c>
      <c r="AE41" s="499">
        <f>ROUND(Eigenmischungen!AO47,1)</f>
        <v>0</v>
      </c>
      <c r="AF41" s="499">
        <f>ROUND(Eigenmischungen!AP47,1)</f>
        <v>0</v>
      </c>
      <c r="AG41" s="499">
        <f>ROUND(Eigenmischungen!AQ47,1)</f>
        <v>0</v>
      </c>
      <c r="AH41" s="499"/>
      <c r="AI41" s="450"/>
    </row>
    <row r="42" spans="1:35" s="487" customFormat="1" ht="17.25" customHeight="1" x14ac:dyDescent="0.2">
      <c r="A42" s="483"/>
      <c r="B42" s="516" t="str">
        <f>Eigenmischungen!AI2</f>
        <v>Mischung ...</v>
      </c>
      <c r="C42" s="517">
        <f>ROUND(Eigenmischungen!AI27*10,-1)</f>
        <v>0</v>
      </c>
      <c r="D42" s="499">
        <f>ROUND(Eigenmischungen!AI28,1)</f>
        <v>0</v>
      </c>
      <c r="E42" s="499">
        <f>ROUND(Eigenmischungen!AI29,1)</f>
        <v>0</v>
      </c>
      <c r="F42" s="518">
        <f>ROUND(Eigenmischungen!AI30,0)</f>
        <v>0</v>
      </c>
      <c r="G42" s="519">
        <f>ROUND(Eigenmischungen!AI31,2)</f>
        <v>0</v>
      </c>
      <c r="H42" s="502">
        <f>ROUND(Eigenmischungen!AI32,0)</f>
        <v>0</v>
      </c>
      <c r="I42" s="499">
        <f>ROUND(Eigenmischungen!AI33,1)</f>
        <v>0</v>
      </c>
      <c r="J42" s="499">
        <f>ROUND(Eigenmischungen!AI34,1)</f>
        <v>0</v>
      </c>
      <c r="K42" s="502">
        <f>ROUND(Eigenmischungen!AI35,0)</f>
        <v>0</v>
      </c>
      <c r="L42" s="502">
        <f>ROUND(Eigenmischungen!AI36,0)</f>
        <v>0</v>
      </c>
      <c r="M42" s="502">
        <f>ROUND(Eigenmischungen!AI37,0)</f>
        <v>0</v>
      </c>
      <c r="N42" s="502">
        <f>ROUND(Eigenmischungen!AI38,0)</f>
        <v>0</v>
      </c>
      <c r="O42" s="502">
        <f>ROUND(Eigenmischungen!AI39,0)</f>
        <v>0</v>
      </c>
      <c r="P42" s="502">
        <f>ROUND(Eigenmischungen!AI40,0)</f>
        <v>0</v>
      </c>
      <c r="Q42" s="502">
        <f>ROUND(Eigenmischungen!AI41,0)</f>
        <v>0</v>
      </c>
      <c r="R42" s="519">
        <f>ROUND(Eigenmischungen!AI42,2)</f>
        <v>0</v>
      </c>
      <c r="S42" s="517">
        <f>ROUND(Eigenmischungen!AI43,0)</f>
        <v>0</v>
      </c>
      <c r="T42" s="499">
        <f>ROUND(Eigenmischungen!AI44,1)</f>
        <v>0</v>
      </c>
      <c r="U42" s="499">
        <f>ROUND(Eigenmischungen!AI45,1)</f>
        <v>0</v>
      </c>
      <c r="V42" s="499">
        <f>ROUND(Eigenmischungen!AI46,1)</f>
        <v>0</v>
      </c>
      <c r="W42" s="499">
        <f>ROUND(Eigenmischungen!AI47,1)</f>
        <v>0</v>
      </c>
      <c r="X42" s="1160">
        <f>ROUND(Eigenmischungen!AI48,1)</f>
        <v>0</v>
      </c>
      <c r="Y42" s="1160">
        <f>ROUND(Eigenmischungen!AI49,1)</f>
        <v>0</v>
      </c>
      <c r="Z42" s="1160">
        <f>ROUND(Eigenmischungen!AI26,1)</f>
        <v>0</v>
      </c>
      <c r="AA42" s="499">
        <f>ROUND(Eigenmischungen!AL47,1)</f>
        <v>0</v>
      </c>
      <c r="AB42" s="499">
        <f>ROUND(Eigenmischungen!AM47,1)</f>
        <v>0</v>
      </c>
      <c r="AC42" s="499">
        <f>ROUND(Eigenmischungen!AN47,1)</f>
        <v>0</v>
      </c>
      <c r="AD42" s="499">
        <f>ROUND(Eigenmischungen!AO47,1)</f>
        <v>0</v>
      </c>
      <c r="AE42" s="499">
        <f>ROUND(Eigenmischungen!AP47,1)</f>
        <v>0</v>
      </c>
      <c r="AF42" s="499">
        <f>ROUND(Eigenmischungen!AQ47,1)</f>
        <v>0</v>
      </c>
      <c r="AG42" s="499">
        <f>ROUND(Eigenmischungen!AR47,1)</f>
        <v>0</v>
      </c>
      <c r="AH42" s="499"/>
      <c r="AI42" s="450"/>
    </row>
    <row r="43" spans="1:35" s="487" customFormat="1" ht="17.25" customHeight="1" x14ac:dyDescent="0.2">
      <c r="A43" s="483"/>
      <c r="B43" s="516" t="str">
        <f>Eigenmischungen!AJ2</f>
        <v>Mischung ...</v>
      </c>
      <c r="C43" s="517">
        <f>ROUND(Eigenmischungen!AJ27*10,-1)</f>
        <v>0</v>
      </c>
      <c r="D43" s="499">
        <f>ROUND(Eigenmischungen!AJ28,1)</f>
        <v>0</v>
      </c>
      <c r="E43" s="499">
        <f>ROUND(Eigenmischungen!AJ29,1)</f>
        <v>0</v>
      </c>
      <c r="F43" s="518">
        <f>ROUND(Eigenmischungen!AJ30,0)</f>
        <v>0</v>
      </c>
      <c r="G43" s="519">
        <f>ROUND(Eigenmischungen!AJ31,2)</f>
        <v>0</v>
      </c>
      <c r="H43" s="502">
        <f>ROUND(Eigenmischungen!AJ32,0)</f>
        <v>0</v>
      </c>
      <c r="I43" s="499">
        <f>ROUND(Eigenmischungen!AJ33,1)</f>
        <v>0</v>
      </c>
      <c r="J43" s="499">
        <f>ROUND(Eigenmischungen!AJ34,1)</f>
        <v>0</v>
      </c>
      <c r="K43" s="502">
        <f>ROUND(Eigenmischungen!AJ35,0)</f>
        <v>0</v>
      </c>
      <c r="L43" s="502">
        <f>ROUND(Eigenmischungen!AJ36,0)</f>
        <v>0</v>
      </c>
      <c r="M43" s="502">
        <f>ROUND(Eigenmischungen!AJ37,0)</f>
        <v>0</v>
      </c>
      <c r="N43" s="502">
        <f>ROUND(Eigenmischungen!AJ38,0)</f>
        <v>0</v>
      </c>
      <c r="O43" s="502">
        <f>ROUND(Eigenmischungen!AJ39,0)</f>
        <v>0</v>
      </c>
      <c r="P43" s="502">
        <f>ROUND(Eigenmischungen!AJ40,0)</f>
        <v>0</v>
      </c>
      <c r="Q43" s="502">
        <f>ROUND(Eigenmischungen!AJ41,0)</f>
        <v>0</v>
      </c>
      <c r="R43" s="519">
        <f>ROUND(Eigenmischungen!AJ42,2)</f>
        <v>0</v>
      </c>
      <c r="S43" s="517">
        <f>ROUND(Eigenmischungen!AJ43,0)</f>
        <v>0</v>
      </c>
      <c r="T43" s="499">
        <f>ROUND(Eigenmischungen!AJ44,1)</f>
        <v>0</v>
      </c>
      <c r="U43" s="499">
        <f>ROUND(Eigenmischungen!AJ45,1)</f>
        <v>0</v>
      </c>
      <c r="V43" s="499">
        <f>ROUND(Eigenmischungen!AJ46,1)</f>
        <v>0</v>
      </c>
      <c r="W43" s="499">
        <f>ROUND(Eigenmischungen!AJ47,1)</f>
        <v>0</v>
      </c>
      <c r="X43" s="1160">
        <f>ROUND(Eigenmischungen!AJ48,1)</f>
        <v>0</v>
      </c>
      <c r="Y43" s="1160">
        <f>ROUND(Eigenmischungen!AJ49,1)</f>
        <v>0</v>
      </c>
      <c r="Z43" s="1160">
        <f>ROUND(Eigenmischungen!AJ26,1)</f>
        <v>0</v>
      </c>
      <c r="AA43" s="499">
        <f>ROUND(Eigenmischungen!AM47,1)</f>
        <v>0</v>
      </c>
      <c r="AB43" s="499">
        <f>ROUND(Eigenmischungen!AN47,1)</f>
        <v>0</v>
      </c>
      <c r="AC43" s="499">
        <f>ROUND(Eigenmischungen!AO47,1)</f>
        <v>0</v>
      </c>
      <c r="AD43" s="499">
        <f>ROUND(Eigenmischungen!AP47,1)</f>
        <v>0</v>
      </c>
      <c r="AE43" s="499">
        <f>ROUND(Eigenmischungen!AQ47,1)</f>
        <v>0</v>
      </c>
      <c r="AF43" s="499">
        <f>ROUND(Eigenmischungen!AR47,1)</f>
        <v>0</v>
      </c>
      <c r="AG43" s="499">
        <f>ROUND(Eigenmischungen!AS47,1)</f>
        <v>0</v>
      </c>
      <c r="AH43" s="499"/>
      <c r="AI43" s="450"/>
    </row>
    <row r="44" spans="1:35" s="487" customFormat="1" ht="17.25" customHeight="1" x14ac:dyDescent="0.2">
      <c r="A44" s="483"/>
      <c r="B44" s="516"/>
      <c r="C44" s="520"/>
      <c r="D44" s="521"/>
      <c r="E44" s="521"/>
      <c r="F44" s="522"/>
      <c r="G44" s="521"/>
      <c r="H44" s="521"/>
      <c r="I44" s="521"/>
      <c r="J44" s="521"/>
      <c r="K44" s="521"/>
      <c r="L44" s="521"/>
      <c r="M44" s="521"/>
      <c r="N44" s="521"/>
      <c r="O44" s="523"/>
      <c r="P44" s="523"/>
      <c r="Q44" s="521"/>
      <c r="R44" s="521"/>
      <c r="S44" s="520"/>
      <c r="T44" s="521"/>
      <c r="U44" s="524"/>
      <c r="V44" s="524"/>
      <c r="W44" s="524"/>
      <c r="X44" s="1161"/>
      <c r="Y44" s="1161"/>
      <c r="Z44" s="1375"/>
      <c r="AA44" s="485"/>
      <c r="AB44" s="486"/>
      <c r="AC44" s="486"/>
      <c r="AD44" s="486"/>
      <c r="AE44" s="486"/>
      <c r="AF44" s="486"/>
      <c r="AG44" s="486"/>
      <c r="AI44" s="450"/>
    </row>
    <row r="45" spans="1:35" s="487" customFormat="1" ht="17.25" customHeight="1" x14ac:dyDescent="0.2">
      <c r="A45" s="483"/>
      <c r="B45" s="516" t="str">
        <f>'TMR-Mischplan'!AM2</f>
        <v>Ration ...</v>
      </c>
      <c r="C45" s="517">
        <f>ROUND('TMR-Mischplan'!AM41*1000,-1)</f>
        <v>0</v>
      </c>
      <c r="D45" s="499">
        <f>ROUND('TMR-Mischplan'!AM30,1)</f>
        <v>0</v>
      </c>
      <c r="E45" s="499">
        <f>ROUND('TMR-Mischplan'!AM31,1)</f>
        <v>0</v>
      </c>
      <c r="F45" s="518">
        <f>ROUND('TMR-Mischplan'!AM45,0)</f>
        <v>0</v>
      </c>
      <c r="G45" s="519">
        <f>'TMR-Mischplan'!AM46</f>
        <v>0</v>
      </c>
      <c r="H45" s="502">
        <f>ROUND('TMR-Mischplan'!AM32,0)</f>
        <v>0</v>
      </c>
      <c r="I45" s="499">
        <f>ROUND('TMR-Mischplan'!AM33,1)</f>
        <v>0</v>
      </c>
      <c r="J45" s="499">
        <f>ROUND('TMR-Mischplan'!AW26,1)</f>
        <v>0</v>
      </c>
      <c r="K45" s="502">
        <f>ROUND('TMR-Mischplan'!AM35,0)</f>
        <v>0</v>
      </c>
      <c r="L45" s="502">
        <f>ROUND('TMR-Mischplan'!AM36,0)</f>
        <v>0</v>
      </c>
      <c r="M45" s="502">
        <f>ROUND('TMR-Mischplan'!AW27,0)</f>
        <v>0</v>
      </c>
      <c r="N45" s="502"/>
      <c r="O45" s="502">
        <f>ROUND('TMR-Mischplan'!AW28,0)</f>
        <v>0</v>
      </c>
      <c r="P45" s="502">
        <f>ROUND('TMR-Mischplan'!AW29,0)</f>
        <v>0</v>
      </c>
      <c r="Q45" s="502">
        <f>ROUND('TMR-Mischplan'!AM57,0)</f>
        <v>0</v>
      </c>
      <c r="R45" s="519"/>
      <c r="S45" s="517">
        <f>ROUND('TMR-Mischplan'!AM59,0)</f>
        <v>0</v>
      </c>
      <c r="T45" s="499">
        <f>ROUND('TMR-Mischplan'!AW30,1)</f>
        <v>0</v>
      </c>
      <c r="U45" s="499">
        <f>ROUND('TMR-Mischplan'!AW31,1)</f>
        <v>0</v>
      </c>
      <c r="V45" s="499">
        <f>ROUND('TMR-Mischplan'!AW32,1)</f>
        <v>0</v>
      </c>
      <c r="W45" s="499">
        <f>ROUND('TMR-Mischplan'!AW33,1)</f>
        <v>0</v>
      </c>
      <c r="X45" s="1160">
        <f>ROUND('TMR-Mischplan'!AW34,1)</f>
        <v>0</v>
      </c>
      <c r="Y45" s="1160">
        <f>ROUND('TMR-Mischplan'!AW35,1)</f>
        <v>0</v>
      </c>
      <c r="Z45" s="1396"/>
      <c r="AA45" s="485"/>
      <c r="AB45" s="486"/>
      <c r="AC45" s="486"/>
      <c r="AD45" s="486"/>
      <c r="AE45" s="486"/>
      <c r="AF45" s="486"/>
      <c r="AG45" s="486"/>
      <c r="AI45" s="450"/>
    </row>
    <row r="46" spans="1:35" s="487" customFormat="1" ht="17.25" customHeight="1" x14ac:dyDescent="0.2">
      <c r="A46" s="483"/>
      <c r="B46" s="516" t="str">
        <f>'TMR-Mischplan'!AN2</f>
        <v>Ration ...</v>
      </c>
      <c r="C46" s="517">
        <f>ROUND('TMR-Mischplan'!AN41*1000,-1)</f>
        <v>0</v>
      </c>
      <c r="D46" s="499">
        <f>ROUND('TMR-Mischplan'!AN30,1)</f>
        <v>0</v>
      </c>
      <c r="E46" s="499">
        <f>ROUND('TMR-Mischplan'!AN31,1)</f>
        <v>0</v>
      </c>
      <c r="F46" s="518">
        <f>ROUND('TMR-Mischplan'!AN45,0)</f>
        <v>0</v>
      </c>
      <c r="G46" s="519">
        <f>'TMR-Mischplan'!AN46</f>
        <v>0</v>
      </c>
      <c r="H46" s="502">
        <f>ROUND('TMR-Mischplan'!AN32,0)</f>
        <v>0</v>
      </c>
      <c r="I46" s="499">
        <f>ROUND('TMR-Mischplan'!AN33,1)</f>
        <v>0</v>
      </c>
      <c r="J46" s="499">
        <f>ROUND('TMR-Mischplan'!AX26,1)</f>
        <v>0</v>
      </c>
      <c r="K46" s="502">
        <f>ROUND('TMR-Mischplan'!AN35,0)</f>
        <v>0</v>
      </c>
      <c r="L46" s="502">
        <f>ROUND('TMR-Mischplan'!AN36,0)</f>
        <v>0</v>
      </c>
      <c r="M46" s="502">
        <f>ROUND('TMR-Mischplan'!AX27,0)</f>
        <v>0</v>
      </c>
      <c r="N46" s="502"/>
      <c r="O46" s="502">
        <f>ROUND('TMR-Mischplan'!AX28,0)</f>
        <v>0</v>
      </c>
      <c r="P46" s="502">
        <f>ROUND('TMR-Mischplan'!AX29,0)</f>
        <v>0</v>
      </c>
      <c r="Q46" s="502">
        <f>ROUND('TMR-Mischplan'!AN57,0)</f>
        <v>0</v>
      </c>
      <c r="R46" s="519"/>
      <c r="S46" s="517">
        <f>ROUND('TMR-Mischplan'!AN59,0)</f>
        <v>0</v>
      </c>
      <c r="T46" s="499">
        <f>ROUND('TMR-Mischplan'!AX30,1)</f>
        <v>0</v>
      </c>
      <c r="U46" s="499">
        <f>ROUND('TMR-Mischplan'!AX31,1)</f>
        <v>0</v>
      </c>
      <c r="V46" s="499">
        <f>ROUND('TMR-Mischplan'!AX32,1)</f>
        <v>0</v>
      </c>
      <c r="W46" s="499">
        <f>ROUND('TMR-Mischplan'!AX33,1)</f>
        <v>0</v>
      </c>
      <c r="X46" s="1160">
        <f>ROUND('TMR-Mischplan'!AX34,1)</f>
        <v>0</v>
      </c>
      <c r="Y46" s="1160">
        <f>ROUND('TMR-Mischplan'!AX35,1)</f>
        <v>0</v>
      </c>
      <c r="Z46" s="1396"/>
      <c r="AA46" s="485"/>
      <c r="AB46" s="486"/>
      <c r="AC46" s="486"/>
      <c r="AD46" s="486"/>
      <c r="AE46" s="486"/>
      <c r="AF46" s="486"/>
      <c r="AG46" s="486"/>
      <c r="AI46" s="450"/>
    </row>
    <row r="47" spans="1:35" s="487" customFormat="1" ht="17.25" customHeight="1" x14ac:dyDescent="0.2">
      <c r="A47" s="483"/>
      <c r="B47" s="516" t="str">
        <f>'TMR-Mischplan'!AO2</f>
        <v>Ration ...</v>
      </c>
      <c r="C47" s="517">
        <f>ROUND('TMR-Mischplan'!AO41*1000,-1)</f>
        <v>0</v>
      </c>
      <c r="D47" s="499">
        <f>ROUND('TMR-Mischplan'!AO30,1)</f>
        <v>0</v>
      </c>
      <c r="E47" s="499">
        <f>ROUND('TMR-Mischplan'!AO31,1)</f>
        <v>0</v>
      </c>
      <c r="F47" s="518">
        <f>ROUND('TMR-Mischplan'!AO45,0)</f>
        <v>0</v>
      </c>
      <c r="G47" s="519">
        <f>'TMR-Mischplan'!AO46</f>
        <v>0</v>
      </c>
      <c r="H47" s="502">
        <f>ROUND('TMR-Mischplan'!AO32,0)</f>
        <v>0</v>
      </c>
      <c r="I47" s="499">
        <f>ROUND('TMR-Mischplan'!AO33,1)</f>
        <v>0</v>
      </c>
      <c r="J47" s="499">
        <f>ROUND('TMR-Mischplan'!AY26,1)</f>
        <v>0</v>
      </c>
      <c r="K47" s="502">
        <f>ROUND('TMR-Mischplan'!AO35,0)</f>
        <v>0</v>
      </c>
      <c r="L47" s="502">
        <f>ROUND('TMR-Mischplan'!AO36,0)</f>
        <v>0</v>
      </c>
      <c r="M47" s="502">
        <f>ROUND('TMR-Mischplan'!AY27,0)</f>
        <v>0</v>
      </c>
      <c r="N47" s="502"/>
      <c r="O47" s="502">
        <f>ROUND('TMR-Mischplan'!AY28,0)</f>
        <v>0</v>
      </c>
      <c r="P47" s="502">
        <f>ROUND('TMR-Mischplan'!AY29,0)</f>
        <v>0</v>
      </c>
      <c r="Q47" s="502">
        <f>ROUND('TMR-Mischplan'!AO57,0)</f>
        <v>0</v>
      </c>
      <c r="R47" s="519"/>
      <c r="S47" s="517">
        <f>ROUND('TMR-Mischplan'!AO59,0)</f>
        <v>0</v>
      </c>
      <c r="T47" s="499">
        <f>ROUND('TMR-Mischplan'!AY30,1)</f>
        <v>0</v>
      </c>
      <c r="U47" s="499">
        <f>ROUND('TMR-Mischplan'!AY31,1)</f>
        <v>0</v>
      </c>
      <c r="V47" s="499">
        <f>ROUND('TMR-Mischplan'!AY32,1)</f>
        <v>0</v>
      </c>
      <c r="W47" s="499">
        <f>ROUND('TMR-Mischplan'!AY33,1)</f>
        <v>0</v>
      </c>
      <c r="X47" s="1160">
        <f>ROUND('TMR-Mischplan'!AY34,1)</f>
        <v>0</v>
      </c>
      <c r="Y47" s="1160">
        <f>ROUND('TMR-Mischplan'!AY35,1)</f>
        <v>0</v>
      </c>
      <c r="Z47" s="1396"/>
      <c r="AA47" s="485"/>
      <c r="AB47" s="486"/>
      <c r="AC47" s="486"/>
      <c r="AD47" s="486"/>
      <c r="AE47" s="486"/>
      <c r="AF47" s="486"/>
      <c r="AG47" s="486"/>
      <c r="AI47" s="450"/>
    </row>
    <row r="48" spans="1:35" s="487" customFormat="1" ht="17.25" customHeight="1" x14ac:dyDescent="0.2">
      <c r="A48" s="483"/>
      <c r="B48" s="516" t="str">
        <f>'TMR-Mischplan'!AP2</f>
        <v>Ration ...</v>
      </c>
      <c r="C48" s="517">
        <f>ROUND('TMR-Mischplan'!AP41*1000,-1)</f>
        <v>0</v>
      </c>
      <c r="D48" s="499">
        <f>ROUND('TMR-Mischplan'!AP30,1)</f>
        <v>0</v>
      </c>
      <c r="E48" s="499">
        <f>ROUND('TMR-Mischplan'!AP31,1)</f>
        <v>0</v>
      </c>
      <c r="F48" s="518">
        <f>ROUND('TMR-Mischplan'!AP45,0)</f>
        <v>0</v>
      </c>
      <c r="G48" s="519">
        <f>'TMR-Mischplan'!AP46</f>
        <v>0</v>
      </c>
      <c r="H48" s="502">
        <f>ROUND('TMR-Mischplan'!AP32,0)</f>
        <v>0</v>
      </c>
      <c r="I48" s="499">
        <f>ROUND('TMR-Mischplan'!AP33,1)</f>
        <v>0</v>
      </c>
      <c r="J48" s="499">
        <f>ROUND('TMR-Mischplan'!AZ26,1)</f>
        <v>0</v>
      </c>
      <c r="K48" s="502">
        <f>ROUND('TMR-Mischplan'!AP35,0)</f>
        <v>0</v>
      </c>
      <c r="L48" s="502">
        <f>ROUND('TMR-Mischplan'!AP36,0)</f>
        <v>0</v>
      </c>
      <c r="M48" s="502">
        <f>ROUND('TMR-Mischplan'!AZ27,0)</f>
        <v>0</v>
      </c>
      <c r="N48" s="502"/>
      <c r="O48" s="502">
        <f>ROUND('TMR-Mischplan'!AZ28,0)</f>
        <v>0</v>
      </c>
      <c r="P48" s="502">
        <f>ROUND('TMR-Mischplan'!AZ29,0)</f>
        <v>0</v>
      </c>
      <c r="Q48" s="502">
        <f>ROUND('TMR-Mischplan'!AP57,0)</f>
        <v>0</v>
      </c>
      <c r="R48" s="519"/>
      <c r="S48" s="517">
        <f>ROUND('TMR-Mischplan'!AP59,0)</f>
        <v>0</v>
      </c>
      <c r="T48" s="499">
        <f>ROUND('TMR-Mischplan'!AZ30,1)</f>
        <v>0</v>
      </c>
      <c r="U48" s="499">
        <f>ROUND('TMR-Mischplan'!AZ31,1)</f>
        <v>0</v>
      </c>
      <c r="V48" s="499">
        <f>ROUND('TMR-Mischplan'!AZ32,1)</f>
        <v>0</v>
      </c>
      <c r="W48" s="499">
        <f>ROUND('TMR-Mischplan'!AZ33,1)</f>
        <v>0</v>
      </c>
      <c r="X48" s="1160">
        <f>ROUND('TMR-Mischplan'!AZ34,1)</f>
        <v>0</v>
      </c>
      <c r="Y48" s="1160">
        <f>ROUND('TMR-Mischplan'!AZ35,1)</f>
        <v>0</v>
      </c>
      <c r="Z48" s="1396"/>
      <c r="AA48" s="485"/>
      <c r="AB48" s="486"/>
      <c r="AC48" s="486"/>
      <c r="AD48" s="486"/>
      <c r="AE48" s="486"/>
      <c r="AF48" s="486"/>
      <c r="AG48" s="486"/>
      <c r="AI48" s="450"/>
    </row>
    <row r="49" spans="1:35" s="487" customFormat="1" ht="17.25" customHeight="1" x14ac:dyDescent="0.2">
      <c r="A49" s="483"/>
      <c r="B49" s="516" t="str">
        <f>'TMR-Mischplan'!AQ2</f>
        <v>Ration ...</v>
      </c>
      <c r="C49" s="517">
        <f>ROUND('TMR-Mischplan'!AQ41*1000,-1)</f>
        <v>0</v>
      </c>
      <c r="D49" s="499">
        <f>ROUND('TMR-Mischplan'!AQ30,1)</f>
        <v>0</v>
      </c>
      <c r="E49" s="499">
        <f>ROUND('TMR-Mischplan'!AQ31,1)</f>
        <v>0</v>
      </c>
      <c r="F49" s="518">
        <f>ROUND('TMR-Mischplan'!AQ45,0)</f>
        <v>0</v>
      </c>
      <c r="G49" s="519">
        <f>'TMR-Mischplan'!AQ46</f>
        <v>0</v>
      </c>
      <c r="H49" s="502">
        <f>ROUND('TMR-Mischplan'!AQ32,0)</f>
        <v>0</v>
      </c>
      <c r="I49" s="499">
        <f>ROUND('TMR-Mischplan'!AQ33,1)</f>
        <v>0</v>
      </c>
      <c r="J49" s="499">
        <f>ROUND('TMR-Mischplan'!BA26,1)</f>
        <v>0</v>
      </c>
      <c r="K49" s="502">
        <f>ROUND('TMR-Mischplan'!AQ34,0)</f>
        <v>0</v>
      </c>
      <c r="L49" s="502">
        <f>ROUND('TMR-Mischplan'!AQ35,0)</f>
        <v>0</v>
      </c>
      <c r="M49" s="502">
        <f>ROUND('TMR-Mischplan'!BA27,0)</f>
        <v>0</v>
      </c>
      <c r="N49" s="502"/>
      <c r="O49" s="502">
        <f>ROUND('TMR-Mischplan'!BA28,0)</f>
        <v>0</v>
      </c>
      <c r="P49" s="502">
        <f>ROUND('TMR-Mischplan'!BA29,0)</f>
        <v>0</v>
      </c>
      <c r="Q49" s="502">
        <f>ROUND('TMR-Mischplan'!AQ57,0)</f>
        <v>0</v>
      </c>
      <c r="R49" s="519"/>
      <c r="S49" s="517">
        <f>ROUND('TMR-Mischplan'!AQ59,0)</f>
        <v>0</v>
      </c>
      <c r="T49" s="499">
        <f>ROUND('TMR-Mischplan'!BA30,1)</f>
        <v>0</v>
      </c>
      <c r="U49" s="499">
        <f>ROUND('TMR-Mischplan'!BA31,1)</f>
        <v>0</v>
      </c>
      <c r="V49" s="499">
        <f>ROUND('TMR-Mischplan'!BA32,1)</f>
        <v>0</v>
      </c>
      <c r="W49" s="499">
        <f>ROUND('TMR-Mischplan'!BA33,1)</f>
        <v>0</v>
      </c>
      <c r="X49" s="1160">
        <f>ROUND('TMR-Mischplan'!BA34,1)</f>
        <v>0</v>
      </c>
      <c r="Y49" s="1160">
        <f>ROUND('TMR-Mischplan'!BA35,1)</f>
        <v>0</v>
      </c>
      <c r="Z49" s="1396"/>
      <c r="AA49" s="485"/>
      <c r="AB49" s="486"/>
      <c r="AC49" s="486"/>
      <c r="AD49" s="486"/>
      <c r="AE49" s="486"/>
      <c r="AF49" s="486"/>
      <c r="AG49" s="486"/>
      <c r="AI49" s="450"/>
    </row>
    <row r="50" spans="1:35" s="487" customFormat="1" ht="17.25" customHeight="1" x14ac:dyDescent="0.2">
      <c r="A50" s="483"/>
      <c r="B50" s="516" t="str">
        <f>'TMR-Mischplan'!AR2</f>
        <v>Ration ...</v>
      </c>
      <c r="C50" s="517">
        <f>ROUND('TMR-Mischplan'!AR41*1000,-1)</f>
        <v>0</v>
      </c>
      <c r="D50" s="499">
        <f>ROUND('TMR-Mischplan'!AR30,1)</f>
        <v>0</v>
      </c>
      <c r="E50" s="499">
        <f>ROUND('TMR-Mischplan'!AR31,1)</f>
        <v>0</v>
      </c>
      <c r="F50" s="518">
        <f>ROUND('TMR-Mischplan'!AR45,0)</f>
        <v>0</v>
      </c>
      <c r="G50" s="519">
        <f>'TMR-Mischplan'!AR46</f>
        <v>0</v>
      </c>
      <c r="H50" s="502">
        <f>ROUND('TMR-Mischplan'!AR32,0)</f>
        <v>0</v>
      </c>
      <c r="I50" s="499">
        <f>ROUND('TMR-Mischplan'!AR33,1)</f>
        <v>0</v>
      </c>
      <c r="J50" s="499">
        <f>ROUND('TMR-Mischplan'!BB26,1)</f>
        <v>0</v>
      </c>
      <c r="K50" s="502">
        <f>ROUND('TMR-Mischplan'!AR34,0)</f>
        <v>0</v>
      </c>
      <c r="L50" s="502">
        <f>ROUND('TMR-Mischplan'!AR35,0)</f>
        <v>0</v>
      </c>
      <c r="M50" s="502">
        <f>ROUND('TMR-Mischplan'!BB27,0)</f>
        <v>0</v>
      </c>
      <c r="N50" s="502"/>
      <c r="O50" s="502">
        <f>ROUND('TMR-Mischplan'!BB28,0)</f>
        <v>0</v>
      </c>
      <c r="P50" s="502">
        <f>ROUND('TMR-Mischplan'!BB29,0)</f>
        <v>0</v>
      </c>
      <c r="Q50" s="502">
        <f>ROUND('TMR-Mischplan'!AR57,0)</f>
        <v>0</v>
      </c>
      <c r="R50" s="519"/>
      <c r="S50" s="517">
        <f>ROUND('TMR-Mischplan'!AR59,0)</f>
        <v>0</v>
      </c>
      <c r="T50" s="499">
        <f>ROUND('TMR-Mischplan'!BB30,1)</f>
        <v>0</v>
      </c>
      <c r="U50" s="499">
        <f>ROUND('TMR-Mischplan'!BB31,1)</f>
        <v>0</v>
      </c>
      <c r="V50" s="499">
        <f>ROUND('TMR-Mischplan'!BB32,1)</f>
        <v>0</v>
      </c>
      <c r="W50" s="499">
        <f>ROUND('TMR-Mischplan'!BB33,1)</f>
        <v>0</v>
      </c>
      <c r="X50" s="1160">
        <f>ROUND('TMR-Mischplan'!BB34,1)</f>
        <v>0</v>
      </c>
      <c r="Y50" s="1160">
        <f>ROUND('TMR-Mischplan'!BB35,1)</f>
        <v>0</v>
      </c>
      <c r="Z50" s="1396"/>
      <c r="AA50" s="485"/>
      <c r="AB50" s="486"/>
      <c r="AC50" s="486"/>
      <c r="AD50" s="486"/>
      <c r="AE50" s="486"/>
      <c r="AF50" s="486"/>
      <c r="AG50" s="486"/>
      <c r="AI50" s="450"/>
    </row>
    <row r="51" spans="1:35" s="487" customFormat="1" ht="17.25" customHeight="1" x14ac:dyDescent="0.2">
      <c r="A51" s="483"/>
      <c r="B51" s="516" t="str">
        <f>'TMR-Mischplan'!AS2</f>
        <v>Ration ...</v>
      </c>
      <c r="C51" s="517">
        <f>ROUND('TMR-Mischplan'!AS41*1000,-1)</f>
        <v>0</v>
      </c>
      <c r="D51" s="499">
        <f>ROUND('TMR-Mischplan'!AS30,1)</f>
        <v>0</v>
      </c>
      <c r="E51" s="499">
        <f>ROUND('TMR-Mischplan'!AS31,1)</f>
        <v>0</v>
      </c>
      <c r="F51" s="518">
        <f>ROUND('TMR-Mischplan'!AS45,0)</f>
        <v>0</v>
      </c>
      <c r="G51" s="519">
        <f>'TMR-Mischplan'!AS46</f>
        <v>0</v>
      </c>
      <c r="H51" s="502">
        <f>ROUND('TMR-Mischplan'!AS32,0)</f>
        <v>0</v>
      </c>
      <c r="I51" s="499">
        <f>ROUND('TMR-Mischplan'!AS33,1)</f>
        <v>0</v>
      </c>
      <c r="J51" s="499">
        <f>ROUND('TMR-Mischplan'!BC26,1)</f>
        <v>0</v>
      </c>
      <c r="K51" s="502">
        <f>ROUND('TMR-Mischplan'!AS34,0)</f>
        <v>0</v>
      </c>
      <c r="L51" s="502">
        <f>ROUND('TMR-Mischplan'!AS35,0)</f>
        <v>0</v>
      </c>
      <c r="M51" s="502">
        <f>ROUND('TMR-Mischplan'!BC27,0)</f>
        <v>0</v>
      </c>
      <c r="N51" s="502"/>
      <c r="O51" s="502">
        <f>ROUND('TMR-Mischplan'!BC28,0)</f>
        <v>0</v>
      </c>
      <c r="P51" s="502">
        <f>ROUND('TMR-Mischplan'!BC29,0)</f>
        <v>0</v>
      </c>
      <c r="Q51" s="502">
        <f>ROUND('TMR-Mischplan'!AS57,0)</f>
        <v>0</v>
      </c>
      <c r="R51" s="519"/>
      <c r="S51" s="517">
        <f>ROUND('TMR-Mischplan'!AS59,0)</f>
        <v>0</v>
      </c>
      <c r="T51" s="499">
        <f>ROUND('TMR-Mischplan'!BC30,1)</f>
        <v>0</v>
      </c>
      <c r="U51" s="499">
        <f>ROUND('TMR-Mischplan'!BC31,1)</f>
        <v>0</v>
      </c>
      <c r="V51" s="499">
        <f>ROUND('TMR-Mischplan'!BC32,1)</f>
        <v>0</v>
      </c>
      <c r="W51" s="499">
        <f>ROUND('TMR-Mischplan'!BC33,1)</f>
        <v>0</v>
      </c>
      <c r="X51" s="1160">
        <f>ROUND('TMR-Mischplan'!BC34,1)</f>
        <v>0</v>
      </c>
      <c r="Y51" s="1160">
        <f>ROUND('TMR-Mischplan'!BC35,1)</f>
        <v>0</v>
      </c>
      <c r="Z51" s="1396"/>
      <c r="AA51" s="485"/>
      <c r="AB51" s="486"/>
      <c r="AC51" s="486"/>
      <c r="AD51" s="486"/>
      <c r="AE51" s="486"/>
      <c r="AF51" s="486"/>
      <c r="AG51" s="486"/>
      <c r="AI51" s="450"/>
    </row>
    <row r="52" spans="1:35" s="487" customFormat="1" ht="17.25" customHeight="1" x14ac:dyDescent="0.2">
      <c r="A52" s="483"/>
      <c r="B52" s="516" t="str">
        <f>'TMR-Mischplan'!AT2</f>
        <v>Ration ...</v>
      </c>
      <c r="C52" s="517">
        <f>ROUND('TMR-Mischplan'!AT41*1000,-1)</f>
        <v>0</v>
      </c>
      <c r="D52" s="499">
        <f>ROUND('TMR-Mischplan'!AT30,1)</f>
        <v>0</v>
      </c>
      <c r="E52" s="499">
        <f>ROUND('TMR-Mischplan'!AT31,1)</f>
        <v>0</v>
      </c>
      <c r="F52" s="518">
        <f>ROUND('TMR-Mischplan'!AT45,0)</f>
        <v>0</v>
      </c>
      <c r="G52" s="519">
        <f>'TMR-Mischplan'!AT46</f>
        <v>0</v>
      </c>
      <c r="H52" s="502">
        <f>ROUND('TMR-Mischplan'!AT32,0)</f>
        <v>0</v>
      </c>
      <c r="I52" s="499">
        <f>ROUND('TMR-Mischplan'!AT33,1)</f>
        <v>0</v>
      </c>
      <c r="J52" s="499">
        <f>ROUND('TMR-Mischplan'!BD26,1)</f>
        <v>0</v>
      </c>
      <c r="K52" s="502">
        <f>ROUND('TMR-Mischplan'!AT34,0)</f>
        <v>0</v>
      </c>
      <c r="L52" s="502">
        <f>ROUND('TMR-Mischplan'!AT35,0)</f>
        <v>0</v>
      </c>
      <c r="M52" s="502">
        <f>ROUND('TMR-Mischplan'!BD27,0)</f>
        <v>0</v>
      </c>
      <c r="N52" s="502"/>
      <c r="O52" s="502">
        <f>ROUND('TMR-Mischplan'!BD28,0)</f>
        <v>0</v>
      </c>
      <c r="P52" s="502">
        <f>ROUND('TMR-Mischplan'!BD29,0)</f>
        <v>0</v>
      </c>
      <c r="Q52" s="502">
        <f>ROUND('TMR-Mischplan'!AT57,0)</f>
        <v>0</v>
      </c>
      <c r="R52" s="519"/>
      <c r="S52" s="517">
        <f>ROUND('TMR-Mischplan'!AT59,0)</f>
        <v>0</v>
      </c>
      <c r="T52" s="499">
        <f>ROUND('TMR-Mischplan'!BD30,1)</f>
        <v>0</v>
      </c>
      <c r="U52" s="499">
        <f>ROUND('TMR-Mischplan'!BD31,1)</f>
        <v>0</v>
      </c>
      <c r="V52" s="499">
        <f>ROUND('TMR-Mischplan'!BD32,1)</f>
        <v>0</v>
      </c>
      <c r="W52" s="499">
        <f>ROUND('TMR-Mischplan'!BD33,1)</f>
        <v>0</v>
      </c>
      <c r="X52" s="1160">
        <f>ROUND('TMR-Mischplan'!BD34,1)</f>
        <v>0</v>
      </c>
      <c r="Y52" s="1160">
        <f>ROUND('TMR-Mischplan'!BD35,1)</f>
        <v>0</v>
      </c>
      <c r="Z52" s="1396"/>
      <c r="AA52" s="485"/>
      <c r="AB52" s="486"/>
      <c r="AC52" s="486"/>
      <c r="AD52" s="486"/>
      <c r="AE52" s="486"/>
      <c r="AF52" s="486"/>
      <c r="AG52" s="486"/>
      <c r="AI52" s="450"/>
    </row>
    <row r="53" spans="1:35" s="487" customFormat="1" ht="17.25" customHeight="1" x14ac:dyDescent="0.2">
      <c r="A53" s="483"/>
      <c r="B53" s="516" t="str">
        <f>'TMR-Mischplan'!AU2</f>
        <v>Ration ...</v>
      </c>
      <c r="C53" s="517">
        <f>ROUND('TMR-Mischplan'!AU41*1000,-1)</f>
        <v>0</v>
      </c>
      <c r="D53" s="499">
        <f>ROUND('TMR-Mischplan'!AU30,1)</f>
        <v>0</v>
      </c>
      <c r="E53" s="499">
        <f>ROUND('TMR-Mischplan'!AU31,1)</f>
        <v>0</v>
      </c>
      <c r="F53" s="518">
        <f>ROUND('TMR-Mischplan'!AU45,0)</f>
        <v>0</v>
      </c>
      <c r="G53" s="519">
        <f>'TMR-Mischplan'!AU46</f>
        <v>0</v>
      </c>
      <c r="H53" s="502">
        <f>ROUND('TMR-Mischplan'!AU32,0)</f>
        <v>0</v>
      </c>
      <c r="I53" s="499">
        <f>ROUND('TMR-Mischplan'!AU33,1)</f>
        <v>0</v>
      </c>
      <c r="J53" s="499">
        <f>ROUND('TMR-Mischplan'!BE26,1)</f>
        <v>0</v>
      </c>
      <c r="K53" s="502">
        <f>ROUND('TMR-Mischplan'!AU34,0)</f>
        <v>0</v>
      </c>
      <c r="L53" s="502">
        <f>ROUND('TMR-Mischplan'!AU35,0)</f>
        <v>0</v>
      </c>
      <c r="M53" s="502">
        <f>ROUND('TMR-Mischplan'!BE27,0)</f>
        <v>0</v>
      </c>
      <c r="N53" s="502"/>
      <c r="O53" s="502">
        <f>ROUND('TMR-Mischplan'!BE28,0)</f>
        <v>0</v>
      </c>
      <c r="P53" s="502">
        <f>ROUND('TMR-Mischplan'!BE29,0)</f>
        <v>0</v>
      </c>
      <c r="Q53" s="502">
        <f>ROUND('TMR-Mischplan'!AU57,0)</f>
        <v>0</v>
      </c>
      <c r="R53" s="519"/>
      <c r="S53" s="517">
        <f>ROUND('TMR-Mischplan'!AU59,0)</f>
        <v>0</v>
      </c>
      <c r="T53" s="499">
        <f>ROUND('TMR-Mischplan'!BE30,1)</f>
        <v>0</v>
      </c>
      <c r="U53" s="499">
        <f>ROUND('TMR-Mischplan'!BE31,1)</f>
        <v>0</v>
      </c>
      <c r="V53" s="499">
        <f>ROUND('TMR-Mischplan'!BE32,1)</f>
        <v>0</v>
      </c>
      <c r="W53" s="499">
        <f>ROUND('TMR-Mischplan'!BE33,1)</f>
        <v>0</v>
      </c>
      <c r="X53" s="1160">
        <f>ROUND('TMR-Mischplan'!BE34,1)</f>
        <v>0</v>
      </c>
      <c r="Y53" s="1160">
        <f>ROUND('TMR-Mischplan'!BE35,1)</f>
        <v>0</v>
      </c>
      <c r="Z53" s="1396"/>
      <c r="AA53" s="485"/>
      <c r="AB53" s="486"/>
      <c r="AC53" s="486"/>
      <c r="AD53" s="486"/>
      <c r="AE53" s="486"/>
      <c r="AF53" s="486"/>
      <c r="AG53" s="486"/>
      <c r="AI53" s="450"/>
    </row>
    <row r="54" spans="1:35" s="450" customFormat="1" ht="17.25" customHeight="1" x14ac:dyDescent="0.2">
      <c r="A54" s="488"/>
      <c r="B54" s="489"/>
      <c r="C54" s="490"/>
      <c r="D54" s="491"/>
      <c r="E54" s="491"/>
      <c r="F54" s="492"/>
      <c r="G54" s="491"/>
      <c r="H54" s="491"/>
      <c r="I54" s="491"/>
      <c r="J54" s="491"/>
      <c r="K54" s="491"/>
      <c r="L54" s="491"/>
      <c r="M54" s="491"/>
      <c r="N54" s="491"/>
      <c r="O54" s="493"/>
      <c r="P54" s="493"/>
      <c r="Q54" s="491"/>
      <c r="R54" s="491"/>
      <c r="S54" s="490"/>
      <c r="T54" s="491"/>
      <c r="U54" s="494"/>
      <c r="V54" s="494"/>
      <c r="W54" s="494"/>
      <c r="X54" s="1157"/>
      <c r="Y54" s="1157"/>
      <c r="Z54" s="1374"/>
      <c r="AA54" s="481"/>
      <c r="AB54" s="482"/>
      <c r="AC54" s="482"/>
      <c r="AD54" s="482"/>
      <c r="AE54" s="482"/>
      <c r="AF54" s="482"/>
      <c r="AG54" s="482"/>
    </row>
    <row r="55" spans="1:35" s="450" customFormat="1" ht="17.25" customHeight="1" x14ac:dyDescent="0.2">
      <c r="A55" s="472" t="s">
        <v>78</v>
      </c>
      <c r="B55" s="473"/>
      <c r="C55" s="474">
        <v>1E-4</v>
      </c>
      <c r="D55" s="475">
        <v>1E-4</v>
      </c>
      <c r="E55" s="475">
        <v>1E-4</v>
      </c>
      <c r="F55" s="476">
        <v>1E-4</v>
      </c>
      <c r="G55" s="475">
        <v>1E-4</v>
      </c>
      <c r="H55" s="475">
        <v>1E-4</v>
      </c>
      <c r="I55" s="475">
        <v>1E-4</v>
      </c>
      <c r="J55" s="475">
        <v>1E-4</v>
      </c>
      <c r="K55" s="475">
        <v>1E-4</v>
      </c>
      <c r="L55" s="475">
        <v>1E-4</v>
      </c>
      <c r="M55" s="475">
        <v>1E-4</v>
      </c>
      <c r="N55" s="475">
        <v>1E-4</v>
      </c>
      <c r="O55" s="475">
        <v>1E-4</v>
      </c>
      <c r="P55" s="475">
        <v>1E-4</v>
      </c>
      <c r="Q55" s="475">
        <v>1E-4</v>
      </c>
      <c r="R55" s="475">
        <v>1E-4</v>
      </c>
      <c r="S55" s="474">
        <v>1E-4</v>
      </c>
      <c r="T55" s="475">
        <v>1E-4</v>
      </c>
      <c r="U55" s="478">
        <v>1E-4</v>
      </c>
      <c r="V55" s="478">
        <v>1E-4</v>
      </c>
      <c r="W55" s="478">
        <v>1E-4</v>
      </c>
      <c r="X55" s="1158">
        <v>1E-4</v>
      </c>
      <c r="Y55" s="1158">
        <v>1E-4</v>
      </c>
      <c r="Z55" s="1373"/>
      <c r="AA55" s="453"/>
      <c r="AB55" s="479"/>
      <c r="AC55" s="479"/>
      <c r="AD55" s="479"/>
      <c r="AE55" s="479"/>
      <c r="AF55" s="479"/>
      <c r="AG55" s="479"/>
    </row>
    <row r="56" spans="1:35" s="450" customFormat="1" ht="17.25" customHeight="1" x14ac:dyDescent="0.2">
      <c r="A56" s="483"/>
      <c r="B56" s="1303" t="s">
        <v>79</v>
      </c>
      <c r="C56" s="1304">
        <v>190</v>
      </c>
      <c r="D56" s="1305">
        <v>7.9</v>
      </c>
      <c r="E56" s="1305">
        <f>D56/0.6</f>
        <v>13.166666666666668</v>
      </c>
      <c r="F56" s="1306">
        <v>68</v>
      </c>
      <c r="G56" s="1307">
        <v>0.2</v>
      </c>
      <c r="H56" s="1308">
        <f t="shared" ref="H56:H62" si="0">ROUND((11.93-(6.82*G56))*E56+1.03*G56*F56,0)</f>
        <v>153</v>
      </c>
      <c r="I56" s="1309">
        <f t="shared" ref="I56:I65" si="1">IF((F56-H56)/6.25&lt;0,ROUND((F56-H56)/6.25,0),"+"&amp;ROUND(((F56-H56)/6.25),0))</f>
        <v>-14</v>
      </c>
      <c r="J56" s="1310">
        <v>1.05</v>
      </c>
      <c r="K56" s="1308">
        <f>11/0.19</f>
        <v>57.89473684210526</v>
      </c>
      <c r="L56" s="1308">
        <f>18/0.19</f>
        <v>94.73684210526315</v>
      </c>
      <c r="M56" s="1308">
        <f>IF(AND(S56&lt;&gt;"",F56&lt;&gt;"",L56&lt;&gt;"",P56&lt;&gt;""),1000-F56-L56-P56-S56,"Fehler")</f>
        <v>651.26315789473688</v>
      </c>
      <c r="N56" s="1308">
        <v>0</v>
      </c>
      <c r="O56" s="1311">
        <v>615</v>
      </c>
      <c r="P56" s="1311">
        <v>5</v>
      </c>
      <c r="Q56" s="1312">
        <v>47</v>
      </c>
      <c r="R56" s="1312">
        <v>0</v>
      </c>
      <c r="S56" s="1304">
        <v>181</v>
      </c>
      <c r="T56" s="1305">
        <v>2.1</v>
      </c>
      <c r="U56" s="1305">
        <f>0.4/0.19</f>
        <v>2.1052631578947367</v>
      </c>
      <c r="V56" s="1305">
        <f>0.1/0.19</f>
        <v>0.52631578947368418</v>
      </c>
      <c r="W56" s="1305">
        <f>0.2/0.19</f>
        <v>1.0526315789473684</v>
      </c>
      <c r="X56" s="1313">
        <f>3.4/0.19</f>
        <v>17.894736842105264</v>
      </c>
      <c r="Y56" s="1359" t="s">
        <v>369</v>
      </c>
      <c r="Z56" s="1397"/>
      <c r="AA56" s="485" t="str">
        <f t="shared" ref="AA56:AA76" si="2">IF(COUNTA(B56:Y56)&lt;21,"x","")</f>
        <v/>
      </c>
      <c r="AB56" s="482"/>
      <c r="AC56" s="482"/>
      <c r="AD56" s="482"/>
      <c r="AE56" s="482"/>
      <c r="AF56" s="482"/>
      <c r="AG56" s="482"/>
    </row>
    <row r="57" spans="1:35" s="450" customFormat="1" ht="17.25" customHeight="1" x14ac:dyDescent="0.2">
      <c r="A57" s="483"/>
      <c r="B57" s="1303" t="s">
        <v>184</v>
      </c>
      <c r="C57" s="1314">
        <v>150</v>
      </c>
      <c r="D57" s="1305">
        <v>7.06</v>
      </c>
      <c r="E57" s="1305">
        <v>11.52</v>
      </c>
      <c r="F57" s="1306">
        <v>215</v>
      </c>
      <c r="G57" s="1307">
        <v>0.1</v>
      </c>
      <c r="H57" s="1308">
        <f t="shared" si="0"/>
        <v>152</v>
      </c>
      <c r="I57" s="1309" t="str">
        <f t="shared" si="1"/>
        <v>+10</v>
      </c>
      <c r="J57" s="1310">
        <f t="shared" ref="J57:J63" si="3">ROUND((+Q57*0.0125-0.2)*0.95,1)</f>
        <v>1.8</v>
      </c>
      <c r="K57" s="1308">
        <f t="shared" ref="K57:K62" si="4">ROUND(1.2*Q57,-1)</f>
        <v>200</v>
      </c>
      <c r="L57" s="1308">
        <f t="shared" ref="L57:L62" si="5">ROUND(1.8*Q57,-1)</f>
        <v>310</v>
      </c>
      <c r="M57" s="1308">
        <f t="shared" ref="M57:M76" si="6">IF(AND(S57&lt;&gt;"",F57&lt;&gt;"",L57&lt;&gt;"",P57&lt;&gt;""),1000-F57-L57-P57-S57,"Fehler")</f>
        <v>340</v>
      </c>
      <c r="N57" s="1311">
        <v>0</v>
      </c>
      <c r="O57" s="1308">
        <v>100</v>
      </c>
      <c r="P57" s="1311">
        <v>40</v>
      </c>
      <c r="Q57" s="1308">
        <v>170</v>
      </c>
      <c r="R57" s="1315">
        <v>0.75</v>
      </c>
      <c r="S57" s="1304">
        <v>95</v>
      </c>
      <c r="T57" s="1305">
        <f>ROUND(AVERAGE(7.1,7.45,7.75),1)</f>
        <v>7.4</v>
      </c>
      <c r="U57" s="1305">
        <f>ROUND(AVERAGE(3.8,3.5,3.6),1)</f>
        <v>3.6</v>
      </c>
      <c r="V57" s="1305">
        <f>ROUND(AVERAGE(0.4,0.6,0.6),1)</f>
        <v>0.5</v>
      </c>
      <c r="W57" s="1305">
        <f>ROUND(AVERAGE(2,2.1,2.2),1)</f>
        <v>2.1</v>
      </c>
      <c r="X57" s="1313">
        <f>ROUND(AVERAGE(29.6,27.5,26.8),1)</f>
        <v>28</v>
      </c>
      <c r="Y57" s="1359" t="s">
        <v>369</v>
      </c>
      <c r="Z57" s="1397"/>
      <c r="AA57" s="485" t="str">
        <f t="shared" si="2"/>
        <v/>
      </c>
      <c r="AB57" s="482"/>
      <c r="AC57" s="482"/>
      <c r="AD57" s="482"/>
      <c r="AE57" s="482"/>
      <c r="AF57" s="482"/>
      <c r="AG57" s="482"/>
    </row>
    <row r="58" spans="1:35" s="450" customFormat="1" ht="17.25" customHeight="1" x14ac:dyDescent="0.2">
      <c r="A58" s="483"/>
      <c r="B58" s="1303" t="s">
        <v>183</v>
      </c>
      <c r="C58" s="1314">
        <v>160</v>
      </c>
      <c r="D58" s="1305">
        <v>6.7</v>
      </c>
      <c r="E58" s="1305">
        <v>11.05</v>
      </c>
      <c r="F58" s="1306">
        <v>195</v>
      </c>
      <c r="G58" s="1307">
        <v>0.1</v>
      </c>
      <c r="H58" s="1308">
        <f t="shared" si="0"/>
        <v>144</v>
      </c>
      <c r="I58" s="1309" t="str">
        <f t="shared" si="1"/>
        <v>+8</v>
      </c>
      <c r="J58" s="1310">
        <f t="shared" si="3"/>
        <v>2.2000000000000002</v>
      </c>
      <c r="K58" s="1308">
        <f t="shared" si="4"/>
        <v>250</v>
      </c>
      <c r="L58" s="1308">
        <f t="shared" si="5"/>
        <v>370</v>
      </c>
      <c r="M58" s="1308">
        <f t="shared" si="6"/>
        <v>300</v>
      </c>
      <c r="N58" s="1311">
        <v>0</v>
      </c>
      <c r="O58" s="1308">
        <v>100</v>
      </c>
      <c r="P58" s="1311">
        <v>40</v>
      </c>
      <c r="Q58" s="1308">
        <v>205</v>
      </c>
      <c r="R58" s="1315">
        <v>0.8</v>
      </c>
      <c r="S58" s="1304">
        <v>95</v>
      </c>
      <c r="T58" s="1305">
        <f>ROUND(AVERAGE(7.1,7.45,7.75),1)</f>
        <v>7.4</v>
      </c>
      <c r="U58" s="1305">
        <f>ROUND(AVERAGE(3.8,3.5,3.6),1)</f>
        <v>3.6</v>
      </c>
      <c r="V58" s="1305">
        <f>ROUND(AVERAGE(0.4,0.6,0.6),1)</f>
        <v>0.5</v>
      </c>
      <c r="W58" s="1305">
        <f>ROUND(AVERAGE(2,2.1,2.2),1)</f>
        <v>2.1</v>
      </c>
      <c r="X58" s="1313">
        <f>ROUND(AVERAGE(29.6,27.5,26.8),1)</f>
        <v>28</v>
      </c>
      <c r="Y58" s="1359" t="s">
        <v>369</v>
      </c>
      <c r="Z58" s="1397"/>
      <c r="AA58" s="485" t="str">
        <f t="shared" si="2"/>
        <v/>
      </c>
      <c r="AB58" s="482"/>
      <c r="AC58" s="482"/>
      <c r="AD58" s="482"/>
      <c r="AE58" s="482"/>
      <c r="AF58" s="482"/>
      <c r="AG58" s="482"/>
    </row>
    <row r="59" spans="1:35" s="450" customFormat="1" ht="17.25" customHeight="1" x14ac:dyDescent="0.2">
      <c r="A59" s="483"/>
      <c r="B59" s="1303" t="s">
        <v>185</v>
      </c>
      <c r="C59" s="1314">
        <v>200</v>
      </c>
      <c r="D59" s="1305">
        <v>5.9</v>
      </c>
      <c r="E59" s="1305">
        <v>9.99</v>
      </c>
      <c r="F59" s="1306">
        <v>155</v>
      </c>
      <c r="G59" s="1307">
        <v>0.15</v>
      </c>
      <c r="H59" s="1308">
        <f t="shared" si="0"/>
        <v>133</v>
      </c>
      <c r="I59" s="1309" t="str">
        <f t="shared" si="1"/>
        <v>+4</v>
      </c>
      <c r="J59" s="1310">
        <f t="shared" si="3"/>
        <v>3.1</v>
      </c>
      <c r="K59" s="1308">
        <f t="shared" si="4"/>
        <v>340</v>
      </c>
      <c r="L59" s="1308">
        <f t="shared" si="5"/>
        <v>500</v>
      </c>
      <c r="M59" s="1308">
        <f t="shared" si="6"/>
        <v>220</v>
      </c>
      <c r="N59" s="1311">
        <v>0</v>
      </c>
      <c r="O59" s="1308">
        <v>70</v>
      </c>
      <c r="P59" s="1311">
        <v>30</v>
      </c>
      <c r="Q59" s="1308">
        <v>280</v>
      </c>
      <c r="R59" s="1315">
        <v>1</v>
      </c>
      <c r="S59" s="1304">
        <v>95</v>
      </c>
      <c r="T59" s="1305">
        <f>ROUND(AVERAGE(7.1,7.45,7.75),1)</f>
        <v>7.4</v>
      </c>
      <c r="U59" s="1305">
        <f>ROUND(AVERAGE(3.8,3.5,3.6),1)</f>
        <v>3.6</v>
      </c>
      <c r="V59" s="1305">
        <f>ROUND(AVERAGE(0.4,0.6,0.6),1)</f>
        <v>0.5</v>
      </c>
      <c r="W59" s="1305">
        <f>ROUND(AVERAGE(2,2.1,2.2),1)</f>
        <v>2.1</v>
      </c>
      <c r="X59" s="1313">
        <f>ROUND(AVERAGE(29.6,27.5,26.8),1)</f>
        <v>28</v>
      </c>
      <c r="Y59" s="1359" t="s">
        <v>369</v>
      </c>
      <c r="Z59" s="1397"/>
      <c r="AA59" s="485" t="str">
        <f t="shared" si="2"/>
        <v/>
      </c>
      <c r="AB59" s="482"/>
      <c r="AC59" s="482"/>
      <c r="AD59" s="482"/>
      <c r="AE59" s="482"/>
      <c r="AF59" s="482"/>
      <c r="AG59" s="482"/>
    </row>
    <row r="60" spans="1:35" s="450" customFormat="1" ht="17.25" customHeight="1" x14ac:dyDescent="0.2">
      <c r="A60" s="483"/>
      <c r="B60" s="1303" t="s">
        <v>186</v>
      </c>
      <c r="C60" s="1314">
        <v>160</v>
      </c>
      <c r="D60" s="1305">
        <v>6.74</v>
      </c>
      <c r="E60" s="1305">
        <v>11.12</v>
      </c>
      <c r="F60" s="1306">
        <v>235</v>
      </c>
      <c r="G60" s="1307">
        <v>0.1</v>
      </c>
      <c r="H60" s="1308">
        <f t="shared" si="0"/>
        <v>149</v>
      </c>
      <c r="I60" s="1309" t="str">
        <f t="shared" si="1"/>
        <v>+14</v>
      </c>
      <c r="J60" s="1310">
        <f t="shared" si="3"/>
        <v>1.8</v>
      </c>
      <c r="K60" s="1308">
        <f t="shared" si="4"/>
        <v>200</v>
      </c>
      <c r="L60" s="1308">
        <f t="shared" si="5"/>
        <v>300</v>
      </c>
      <c r="M60" s="1308">
        <f t="shared" si="6"/>
        <v>330</v>
      </c>
      <c r="N60" s="1311">
        <v>0</v>
      </c>
      <c r="O60" s="1308">
        <v>100</v>
      </c>
      <c r="P60" s="1311">
        <v>40</v>
      </c>
      <c r="Q60" s="1308">
        <v>165</v>
      </c>
      <c r="R60" s="1315">
        <v>0.75</v>
      </c>
      <c r="S60" s="1304">
        <v>95</v>
      </c>
      <c r="T60" s="1305">
        <f>ROUND(AVERAGE(8.74,9.49,9.42),1)</f>
        <v>9.1999999999999993</v>
      </c>
      <c r="U60" s="1305">
        <f>ROUND(AVERAGE(3.58,3.67,3.71),1)</f>
        <v>3.7</v>
      </c>
      <c r="V60" s="1305">
        <f>ROUND(AVERAGE(0.66,0.68,0.75),1)</f>
        <v>0.7</v>
      </c>
      <c r="W60" s="1305">
        <f>ROUND(AVERAGE(2.55,2.62,2.72),1)</f>
        <v>2.6</v>
      </c>
      <c r="X60" s="1313">
        <f>ROUND(AVERAGE(25.2,27,26.5),1)</f>
        <v>26.2</v>
      </c>
      <c r="Y60" s="1359" t="s">
        <v>369</v>
      </c>
      <c r="Z60" s="1397"/>
      <c r="AA60" s="485" t="str">
        <f t="shared" si="2"/>
        <v/>
      </c>
      <c r="AB60" s="482"/>
      <c r="AC60" s="482"/>
      <c r="AD60" s="482"/>
      <c r="AE60" s="482"/>
      <c r="AF60" s="482"/>
      <c r="AG60" s="482"/>
    </row>
    <row r="61" spans="1:35" s="450" customFormat="1" ht="17.25" customHeight="1" x14ac:dyDescent="0.2">
      <c r="A61" s="483"/>
      <c r="B61" s="1303" t="s">
        <v>187</v>
      </c>
      <c r="C61" s="1314">
        <v>170</v>
      </c>
      <c r="D61" s="1305">
        <v>6.28</v>
      </c>
      <c r="E61" s="1305">
        <v>10.28</v>
      </c>
      <c r="F61" s="1306">
        <v>180</v>
      </c>
      <c r="G61" s="1307">
        <v>0.15</v>
      </c>
      <c r="H61" s="1308">
        <f t="shared" si="0"/>
        <v>140</v>
      </c>
      <c r="I61" s="1309" t="str">
        <f t="shared" si="1"/>
        <v>+6</v>
      </c>
      <c r="J61" s="1310">
        <f t="shared" si="3"/>
        <v>2.2000000000000002</v>
      </c>
      <c r="K61" s="1308">
        <f t="shared" si="4"/>
        <v>250</v>
      </c>
      <c r="L61" s="1308">
        <f t="shared" si="5"/>
        <v>370</v>
      </c>
      <c r="M61" s="1308">
        <f t="shared" si="6"/>
        <v>315</v>
      </c>
      <c r="N61" s="1311">
        <v>0</v>
      </c>
      <c r="O61" s="1308">
        <v>100</v>
      </c>
      <c r="P61" s="1311">
        <v>40</v>
      </c>
      <c r="Q61" s="1308">
        <v>205</v>
      </c>
      <c r="R61" s="1315">
        <v>0.8</v>
      </c>
      <c r="S61" s="1304">
        <v>95</v>
      </c>
      <c r="T61" s="1305">
        <f>ROUND(AVERAGE(8.74,9.49,9.42),1)</f>
        <v>9.1999999999999993</v>
      </c>
      <c r="U61" s="1305">
        <f>ROUND(AVERAGE(3.58,3.67,3.71),1)</f>
        <v>3.7</v>
      </c>
      <c r="V61" s="1305">
        <f>ROUND(AVERAGE(0.66,0.68,0.75),1)</f>
        <v>0.7</v>
      </c>
      <c r="W61" s="1305">
        <f>ROUND(AVERAGE(2.55,2.62,2.72),1)</f>
        <v>2.6</v>
      </c>
      <c r="X61" s="1313">
        <f>ROUND(AVERAGE(25.2,27,26.5),1)</f>
        <v>26.2</v>
      </c>
      <c r="Y61" s="1359" t="s">
        <v>369</v>
      </c>
      <c r="Z61" s="1397"/>
      <c r="AA61" s="485" t="str">
        <f t="shared" si="2"/>
        <v/>
      </c>
      <c r="AB61" s="482"/>
      <c r="AC61" s="482"/>
      <c r="AD61" s="482"/>
      <c r="AE61" s="482"/>
      <c r="AF61" s="482"/>
      <c r="AG61" s="482"/>
    </row>
    <row r="62" spans="1:35" s="450" customFormat="1" ht="17.25" customHeight="1" x14ac:dyDescent="0.2">
      <c r="A62" s="483"/>
      <c r="B62" s="1303" t="s">
        <v>188</v>
      </c>
      <c r="C62" s="1314">
        <v>180</v>
      </c>
      <c r="D62" s="1305">
        <v>6.02</v>
      </c>
      <c r="E62" s="1305">
        <v>10.11</v>
      </c>
      <c r="F62" s="1306">
        <v>172</v>
      </c>
      <c r="G62" s="1307">
        <v>0.15</v>
      </c>
      <c r="H62" s="1308">
        <f t="shared" si="0"/>
        <v>137</v>
      </c>
      <c r="I62" s="1309" t="str">
        <f t="shared" si="1"/>
        <v>+6</v>
      </c>
      <c r="J62" s="1310">
        <f t="shared" si="3"/>
        <v>2.7</v>
      </c>
      <c r="K62" s="1308">
        <f t="shared" si="4"/>
        <v>290</v>
      </c>
      <c r="L62" s="1308">
        <f t="shared" si="5"/>
        <v>430</v>
      </c>
      <c r="M62" s="1308">
        <f t="shared" si="6"/>
        <v>263</v>
      </c>
      <c r="N62" s="1311">
        <v>0</v>
      </c>
      <c r="O62" s="1308">
        <v>100</v>
      </c>
      <c r="P62" s="1311">
        <v>40</v>
      </c>
      <c r="Q62" s="1308">
        <v>240</v>
      </c>
      <c r="R62" s="1315">
        <v>1</v>
      </c>
      <c r="S62" s="1304">
        <v>95</v>
      </c>
      <c r="T62" s="1305">
        <f>ROUND(AVERAGE(8.74,9.49,9.42),1)</f>
        <v>9.1999999999999993</v>
      </c>
      <c r="U62" s="1305">
        <f>ROUND(AVERAGE(3.58,3.67,3.71),1)</f>
        <v>3.7</v>
      </c>
      <c r="V62" s="1305">
        <f>ROUND(AVERAGE(0.66,0.68,0.75),1)</f>
        <v>0.7</v>
      </c>
      <c r="W62" s="1305">
        <f>ROUND(AVERAGE(2.55,2.62,2.72),1)</f>
        <v>2.6</v>
      </c>
      <c r="X62" s="1313">
        <f>ROUND(AVERAGE(25.2,27,26.5),1)</f>
        <v>26.2</v>
      </c>
      <c r="Y62" s="1359" t="s">
        <v>369</v>
      </c>
      <c r="Z62" s="1397"/>
      <c r="AA62" s="485" t="str">
        <f t="shared" si="2"/>
        <v/>
      </c>
      <c r="AB62" s="482"/>
      <c r="AC62" s="482"/>
      <c r="AD62" s="482"/>
      <c r="AE62" s="482"/>
      <c r="AF62" s="482"/>
      <c r="AG62" s="482"/>
    </row>
    <row r="63" spans="1:35" s="450" customFormat="1" ht="17.25" customHeight="1" x14ac:dyDescent="0.2">
      <c r="A63" s="483"/>
      <c r="B63" s="1303" t="s">
        <v>210</v>
      </c>
      <c r="C63" s="1304">
        <v>120</v>
      </c>
      <c r="D63" s="1305">
        <v>7.7</v>
      </c>
      <c r="E63" s="1305">
        <v>12.15</v>
      </c>
      <c r="F63" s="1306">
        <v>100</v>
      </c>
      <c r="G63" s="1307">
        <v>0.15</v>
      </c>
      <c r="H63" s="1308">
        <f>ROUND((11.93-(6.82*G63))*E63+1.03*G63*F63,0)</f>
        <v>148</v>
      </c>
      <c r="I63" s="1309">
        <f>IF((F63-H63)/6.25&lt;0,ROUND((F63-H63)/6.25,0),"+"&amp;ROUND(((F63-H63)/6.25),0))</f>
        <v>-8</v>
      </c>
      <c r="J63" s="1310">
        <f t="shared" si="3"/>
        <v>0.9</v>
      </c>
      <c r="K63" s="1308">
        <v>95</v>
      </c>
      <c r="L63" s="1308">
        <v>96</v>
      </c>
      <c r="M63" s="1308">
        <f t="shared" si="6"/>
        <v>694</v>
      </c>
      <c r="N63" s="1316">
        <v>0</v>
      </c>
      <c r="O63" s="1317">
        <v>500</v>
      </c>
      <c r="P63" s="1317">
        <v>15</v>
      </c>
      <c r="Q63" s="1312">
        <v>95</v>
      </c>
      <c r="R63" s="1315">
        <v>0.5</v>
      </c>
      <c r="S63" s="1304">
        <v>95</v>
      </c>
      <c r="T63" s="1305">
        <v>3.5</v>
      </c>
      <c r="U63" s="1305">
        <v>3.5</v>
      </c>
      <c r="V63" s="1305">
        <v>3.5</v>
      </c>
      <c r="W63" s="1305">
        <v>1.5</v>
      </c>
      <c r="X63" s="1313">
        <v>26</v>
      </c>
      <c r="Y63" s="1359" t="s">
        <v>369</v>
      </c>
      <c r="Z63" s="1397"/>
      <c r="AA63" s="485" t="str">
        <f t="shared" si="2"/>
        <v/>
      </c>
      <c r="AB63" s="482"/>
      <c r="AC63" s="482"/>
      <c r="AD63" s="482"/>
      <c r="AE63" s="482"/>
      <c r="AF63" s="482"/>
      <c r="AG63" s="482"/>
    </row>
    <row r="64" spans="1:35" s="450" customFormat="1" ht="17.25" customHeight="1" x14ac:dyDescent="0.2">
      <c r="A64" s="483"/>
      <c r="B64" s="1303" t="s">
        <v>80</v>
      </c>
      <c r="C64" s="1304">
        <v>220</v>
      </c>
      <c r="D64" s="1305">
        <v>8.5</v>
      </c>
      <c r="E64" s="1305">
        <v>13.1</v>
      </c>
      <c r="F64" s="1306">
        <v>96</v>
      </c>
      <c r="G64" s="1307">
        <v>0.35</v>
      </c>
      <c r="H64" s="1308">
        <f t="shared" ref="H64:H76" si="7">ROUND((11.93-(6.82*G64))*E64+1.03*G64*F64,0)</f>
        <v>160</v>
      </c>
      <c r="I64" s="1309">
        <f t="shared" si="1"/>
        <v>-10</v>
      </c>
      <c r="J64" s="1310">
        <v>0.7</v>
      </c>
      <c r="K64" s="1308">
        <v>45</v>
      </c>
      <c r="L64" s="1308">
        <v>75</v>
      </c>
      <c r="M64" s="1308">
        <f t="shared" si="6"/>
        <v>764</v>
      </c>
      <c r="N64" s="1311">
        <v>710</v>
      </c>
      <c r="O64" s="1311">
        <v>30</v>
      </c>
      <c r="P64" s="1311">
        <v>5</v>
      </c>
      <c r="Q64" s="1312">
        <v>27</v>
      </c>
      <c r="R64" s="1312">
        <v>0</v>
      </c>
      <c r="S64" s="1304">
        <v>60</v>
      </c>
      <c r="T64" s="1305">
        <f>0.1/0.22</f>
        <v>0.45454545454545459</v>
      </c>
      <c r="U64" s="1305">
        <f>0.6/0.22</f>
        <v>2.7272727272727271</v>
      </c>
      <c r="V64" s="1305">
        <f>0.1/0.22</f>
        <v>0.45454545454545459</v>
      </c>
      <c r="W64" s="1305">
        <f>0.2/0.22</f>
        <v>0.90909090909090917</v>
      </c>
      <c r="X64" s="1313">
        <f>4.7/0.22</f>
        <v>21.363636363636363</v>
      </c>
      <c r="Y64" s="1359" t="s">
        <v>369</v>
      </c>
      <c r="Z64" s="1397"/>
      <c r="AA64" s="485" t="str">
        <f t="shared" si="2"/>
        <v/>
      </c>
      <c r="AB64" s="482">
        <f>+Q64</f>
        <v>27</v>
      </c>
      <c r="AC64" s="482">
        <f>IF(M64=0,0.0001,M64)</f>
        <v>764</v>
      </c>
      <c r="AD64" s="495">
        <v>0.1</v>
      </c>
      <c r="AE64" s="482">
        <f>+AC64*AD64</f>
        <v>76.400000000000006</v>
      </c>
      <c r="AF64" s="482">
        <f>+O64</f>
        <v>30</v>
      </c>
      <c r="AG64" s="496">
        <f>0.9-1.3*AD64</f>
        <v>0.77</v>
      </c>
    </row>
    <row r="65" spans="1:35" s="450" customFormat="1" ht="17.25" customHeight="1" x14ac:dyDescent="0.2">
      <c r="A65" s="483"/>
      <c r="B65" s="1303" t="s">
        <v>189</v>
      </c>
      <c r="C65" s="1304">
        <v>150</v>
      </c>
      <c r="D65" s="1305">
        <v>6.73</v>
      </c>
      <c r="E65" s="1305">
        <v>11.05</v>
      </c>
      <c r="F65" s="1306">
        <v>230</v>
      </c>
      <c r="G65" s="1307">
        <v>0.15</v>
      </c>
      <c r="H65" s="1308">
        <f t="shared" si="7"/>
        <v>156</v>
      </c>
      <c r="I65" s="1309" t="str">
        <f t="shared" si="1"/>
        <v>+12</v>
      </c>
      <c r="J65" s="1310">
        <f t="shared" ref="J65:J72" si="8">ROUND((+Q65*0.0125-0.2)*0.95,1)</f>
        <v>2</v>
      </c>
      <c r="K65" s="1308">
        <f>Q65*1.2</f>
        <v>222</v>
      </c>
      <c r="L65" s="1308">
        <f>Q65*1.9</f>
        <v>351.5</v>
      </c>
      <c r="M65" s="1308">
        <f t="shared" si="6"/>
        <v>278.5</v>
      </c>
      <c r="N65" s="1308">
        <v>0</v>
      </c>
      <c r="O65" s="1311">
        <v>80</v>
      </c>
      <c r="P65" s="1311">
        <v>35</v>
      </c>
      <c r="Q65" s="1312">
        <v>185</v>
      </c>
      <c r="R65" s="1315">
        <v>0.5</v>
      </c>
      <c r="S65" s="1304">
        <v>105</v>
      </c>
      <c r="T65" s="1305">
        <v>13</v>
      </c>
      <c r="U65" s="1305">
        <v>4.5</v>
      </c>
      <c r="V65" s="1305">
        <v>0.3</v>
      </c>
      <c r="W65" s="1305">
        <v>2.4</v>
      </c>
      <c r="X65" s="1313">
        <v>36</v>
      </c>
      <c r="Y65" s="1359" t="s">
        <v>369</v>
      </c>
      <c r="Z65" s="1397"/>
      <c r="AA65" s="485" t="str">
        <f t="shared" si="2"/>
        <v/>
      </c>
      <c r="AB65" s="482"/>
      <c r="AC65" s="482"/>
      <c r="AD65" s="482"/>
      <c r="AE65" s="482"/>
      <c r="AF65" s="482"/>
      <c r="AG65" s="482"/>
    </row>
    <row r="66" spans="1:35" s="450" customFormat="1" ht="17.25" customHeight="1" x14ac:dyDescent="0.2">
      <c r="A66" s="483"/>
      <c r="B66" s="1303" t="s">
        <v>81</v>
      </c>
      <c r="C66" s="1304">
        <v>160</v>
      </c>
      <c r="D66" s="1305">
        <v>6.37</v>
      </c>
      <c r="E66" s="1305">
        <v>10.58</v>
      </c>
      <c r="F66" s="1306">
        <v>215</v>
      </c>
      <c r="G66" s="1307">
        <v>0.15</v>
      </c>
      <c r="H66" s="1308">
        <f t="shared" si="7"/>
        <v>149</v>
      </c>
      <c r="I66" s="1309" t="str">
        <f t="shared" ref="I66:I76" si="9">IF((F66-H66)/6.25&lt;0,ROUND((F66-H66)/6.25,0),"+"&amp;ROUND(((F66-H66)/6.25),0))</f>
        <v>+11</v>
      </c>
      <c r="J66" s="1310">
        <f t="shared" si="8"/>
        <v>2.4</v>
      </c>
      <c r="K66" s="1308">
        <v>270</v>
      </c>
      <c r="L66" s="1308">
        <v>435</v>
      </c>
      <c r="M66" s="1308">
        <f t="shared" si="6"/>
        <v>220</v>
      </c>
      <c r="N66" s="1317">
        <v>0</v>
      </c>
      <c r="O66" s="1317">
        <v>80</v>
      </c>
      <c r="P66" s="1317">
        <v>30</v>
      </c>
      <c r="Q66" s="1312">
        <v>220</v>
      </c>
      <c r="R66" s="1315">
        <v>0.6</v>
      </c>
      <c r="S66" s="1304">
        <v>100</v>
      </c>
      <c r="T66" s="1305">
        <v>10</v>
      </c>
      <c r="U66" s="1305">
        <v>4.4000000000000004</v>
      </c>
      <c r="V66" s="1305">
        <v>0.5</v>
      </c>
      <c r="W66" s="1305">
        <v>2.2999999999999998</v>
      </c>
      <c r="X66" s="1313">
        <v>35</v>
      </c>
      <c r="Y66" s="1359" t="s">
        <v>369</v>
      </c>
      <c r="Z66" s="1397"/>
      <c r="AA66" s="485" t="str">
        <f t="shared" si="2"/>
        <v/>
      </c>
      <c r="AB66" s="482"/>
      <c r="AC66" s="482"/>
      <c r="AD66" s="482"/>
      <c r="AE66" s="482"/>
      <c r="AF66" s="482"/>
      <c r="AG66" s="482"/>
    </row>
    <row r="67" spans="1:35" s="450" customFormat="1" ht="17.25" customHeight="1" x14ac:dyDescent="0.2">
      <c r="A67" s="483"/>
      <c r="B67" s="1303" t="s">
        <v>83</v>
      </c>
      <c r="C67" s="1304">
        <v>170</v>
      </c>
      <c r="D67" s="1305">
        <v>5.9</v>
      </c>
      <c r="E67" s="1305">
        <v>9.94</v>
      </c>
      <c r="F67" s="1306">
        <v>205</v>
      </c>
      <c r="G67" s="1307">
        <v>0.15</v>
      </c>
      <c r="H67" s="1308">
        <f t="shared" si="7"/>
        <v>140</v>
      </c>
      <c r="I67" s="1309" t="str">
        <f t="shared" si="9"/>
        <v>+10</v>
      </c>
      <c r="J67" s="1310">
        <f t="shared" si="8"/>
        <v>2.7</v>
      </c>
      <c r="K67" s="1308">
        <f>Q67*1.2</f>
        <v>288</v>
      </c>
      <c r="L67" s="1308">
        <f>Q67*1.9</f>
        <v>456</v>
      </c>
      <c r="M67" s="1308">
        <f t="shared" si="6"/>
        <v>204</v>
      </c>
      <c r="N67" s="1317">
        <v>0</v>
      </c>
      <c r="O67" s="1317">
        <v>70</v>
      </c>
      <c r="P67" s="1317">
        <v>30</v>
      </c>
      <c r="Q67" s="1312">
        <v>240</v>
      </c>
      <c r="R67" s="1315">
        <v>0.6</v>
      </c>
      <c r="S67" s="1304">
        <v>105</v>
      </c>
      <c r="T67" s="1305">
        <f>2.4/0.21</f>
        <v>11.428571428571429</v>
      </c>
      <c r="U67" s="1305">
        <f>0.9/0.21</f>
        <v>4.2857142857142856</v>
      </c>
      <c r="V67" s="1305">
        <f>0.15/0.21</f>
        <v>0.7142857142857143</v>
      </c>
      <c r="W67" s="1305">
        <f>0.5/0.21</f>
        <v>2.3809523809523809</v>
      </c>
      <c r="X67" s="1313">
        <f>6.7/0.21</f>
        <v>31.904761904761905</v>
      </c>
      <c r="Y67" s="1359" t="s">
        <v>369</v>
      </c>
      <c r="Z67" s="1397"/>
      <c r="AA67" s="485" t="str">
        <f t="shared" si="2"/>
        <v/>
      </c>
      <c r="AB67" s="482"/>
      <c r="AC67" s="482"/>
      <c r="AD67" s="482"/>
      <c r="AE67" s="482"/>
      <c r="AF67" s="482"/>
      <c r="AG67" s="482"/>
    </row>
    <row r="68" spans="1:35" s="450" customFormat="1" ht="17.25" customHeight="1" x14ac:dyDescent="0.2">
      <c r="A68" s="483"/>
      <c r="B68" s="1303" t="s">
        <v>82</v>
      </c>
      <c r="C68" s="1304">
        <v>180</v>
      </c>
      <c r="D68" s="1305">
        <v>5.47</v>
      </c>
      <c r="E68" s="1305">
        <v>9.33</v>
      </c>
      <c r="F68" s="1306">
        <v>170</v>
      </c>
      <c r="G68" s="1307">
        <v>0.2</v>
      </c>
      <c r="H68" s="1308">
        <f t="shared" si="7"/>
        <v>134</v>
      </c>
      <c r="I68" s="1309" t="str">
        <f t="shared" si="9"/>
        <v>+6</v>
      </c>
      <c r="J68" s="1310">
        <f t="shared" si="8"/>
        <v>2.9</v>
      </c>
      <c r="K68" s="1308">
        <v>305</v>
      </c>
      <c r="L68" s="1308">
        <v>520</v>
      </c>
      <c r="M68" s="1308">
        <f t="shared" si="6"/>
        <v>175</v>
      </c>
      <c r="N68" s="1317">
        <v>0</v>
      </c>
      <c r="O68" s="1317">
        <v>70</v>
      </c>
      <c r="P68" s="1317">
        <v>30</v>
      </c>
      <c r="Q68" s="1312">
        <v>260</v>
      </c>
      <c r="R68" s="1315">
        <v>0.8</v>
      </c>
      <c r="S68" s="1304">
        <v>105</v>
      </c>
      <c r="T68" s="1305">
        <v>8</v>
      </c>
      <c r="U68" s="1305">
        <v>4</v>
      </c>
      <c r="V68" s="1305">
        <v>0.3</v>
      </c>
      <c r="W68" s="1305">
        <v>2</v>
      </c>
      <c r="X68" s="1313">
        <v>35</v>
      </c>
      <c r="Y68" s="1359" t="s">
        <v>369</v>
      </c>
      <c r="Z68" s="1397"/>
      <c r="AA68" s="485" t="str">
        <f t="shared" si="2"/>
        <v/>
      </c>
      <c r="AB68" s="482"/>
      <c r="AC68" s="482"/>
      <c r="AD68" s="482"/>
      <c r="AE68" s="482"/>
      <c r="AF68" s="482"/>
      <c r="AG68" s="482"/>
    </row>
    <row r="69" spans="1:35" s="450" customFormat="1" ht="17.25" customHeight="1" x14ac:dyDescent="0.2">
      <c r="A69" s="483"/>
      <c r="B69" s="1303" t="s">
        <v>190</v>
      </c>
      <c r="C69" s="1304">
        <v>170</v>
      </c>
      <c r="D69" s="1305">
        <v>6.2</v>
      </c>
      <c r="E69" s="1305">
        <v>10.4</v>
      </c>
      <c r="F69" s="1306">
        <v>240</v>
      </c>
      <c r="G69" s="1307">
        <v>0.15</v>
      </c>
      <c r="H69" s="1308">
        <f t="shared" si="7"/>
        <v>151</v>
      </c>
      <c r="I69" s="1309" t="str">
        <f t="shared" si="9"/>
        <v>+14</v>
      </c>
      <c r="J69" s="1310">
        <f t="shared" si="8"/>
        <v>2.2999999999999998</v>
      </c>
      <c r="K69" s="1308">
        <v>285</v>
      </c>
      <c r="L69" s="1308">
        <v>340</v>
      </c>
      <c r="M69" s="1308">
        <f t="shared" si="6"/>
        <v>285</v>
      </c>
      <c r="N69" s="1317">
        <v>0</v>
      </c>
      <c r="O69" s="1317">
        <v>15</v>
      </c>
      <c r="P69" s="1317">
        <v>30</v>
      </c>
      <c r="Q69" s="1312">
        <v>210</v>
      </c>
      <c r="R69" s="1315">
        <v>0.75</v>
      </c>
      <c r="S69" s="1304">
        <v>105</v>
      </c>
      <c r="T69" s="1305">
        <v>18</v>
      </c>
      <c r="U69" s="1305">
        <v>3</v>
      </c>
      <c r="V69" s="1305">
        <v>0.5</v>
      </c>
      <c r="W69" s="1305">
        <v>3.2</v>
      </c>
      <c r="X69" s="1313">
        <v>30</v>
      </c>
      <c r="Y69" s="1359" t="s">
        <v>369</v>
      </c>
      <c r="Z69" s="1397"/>
      <c r="AA69" s="485" t="str">
        <f t="shared" si="2"/>
        <v/>
      </c>
      <c r="AB69" s="482"/>
      <c r="AC69" s="482"/>
      <c r="AD69" s="482"/>
      <c r="AE69" s="482"/>
      <c r="AF69" s="482"/>
      <c r="AG69" s="482"/>
    </row>
    <row r="70" spans="1:35" s="450" customFormat="1" ht="17.25" customHeight="1" x14ac:dyDescent="0.2">
      <c r="A70" s="483"/>
      <c r="B70" s="1303" t="s">
        <v>191</v>
      </c>
      <c r="C70" s="1304">
        <v>200</v>
      </c>
      <c r="D70" s="1305">
        <v>5.45</v>
      </c>
      <c r="E70" s="1305">
        <v>9.31</v>
      </c>
      <c r="F70" s="1306">
        <v>190</v>
      </c>
      <c r="G70" s="1307">
        <v>0.2</v>
      </c>
      <c r="H70" s="1308">
        <f t="shared" si="7"/>
        <v>138</v>
      </c>
      <c r="I70" s="1309" t="str">
        <f t="shared" si="9"/>
        <v>+8</v>
      </c>
      <c r="J70" s="1310">
        <f t="shared" si="8"/>
        <v>3.1</v>
      </c>
      <c r="K70" s="1308">
        <v>330</v>
      </c>
      <c r="L70" s="1308">
        <v>385</v>
      </c>
      <c r="M70" s="1308">
        <f t="shared" si="6"/>
        <v>290</v>
      </c>
      <c r="N70" s="1317">
        <v>0</v>
      </c>
      <c r="O70" s="1317">
        <v>25</v>
      </c>
      <c r="P70" s="1317">
        <v>30</v>
      </c>
      <c r="Q70" s="1312">
        <v>275</v>
      </c>
      <c r="R70" s="1315">
        <v>0.75</v>
      </c>
      <c r="S70" s="1304">
        <v>105</v>
      </c>
      <c r="T70" s="1305">
        <v>20</v>
      </c>
      <c r="U70" s="1305">
        <v>2.8</v>
      </c>
      <c r="V70" s="1305">
        <v>1</v>
      </c>
      <c r="W70" s="1305">
        <v>2.7</v>
      </c>
      <c r="X70" s="1313">
        <v>26</v>
      </c>
      <c r="Y70" s="1359" t="s">
        <v>369</v>
      </c>
      <c r="Z70" s="1397"/>
      <c r="AA70" s="485" t="str">
        <f t="shared" si="2"/>
        <v/>
      </c>
      <c r="AB70" s="482"/>
      <c r="AC70" s="482"/>
      <c r="AD70" s="482"/>
      <c r="AE70" s="482"/>
      <c r="AF70" s="482"/>
      <c r="AG70" s="482"/>
    </row>
    <row r="71" spans="1:35" s="450" customFormat="1" ht="17.25" customHeight="1" x14ac:dyDescent="0.2">
      <c r="A71" s="483"/>
      <c r="B71" s="1303" t="s">
        <v>116</v>
      </c>
      <c r="C71" s="1304">
        <v>120</v>
      </c>
      <c r="D71" s="1305">
        <v>6.76</v>
      </c>
      <c r="E71" s="1305">
        <v>11.02</v>
      </c>
      <c r="F71" s="1306">
        <v>210</v>
      </c>
      <c r="G71" s="1307">
        <v>0.15</v>
      </c>
      <c r="H71" s="1308">
        <f t="shared" si="7"/>
        <v>153</v>
      </c>
      <c r="I71" s="1309" t="str">
        <f t="shared" si="9"/>
        <v>+9</v>
      </c>
      <c r="J71" s="1310">
        <f t="shared" si="8"/>
        <v>1.4</v>
      </c>
      <c r="K71" s="1308">
        <v>155</v>
      </c>
      <c r="L71" s="1308">
        <v>235</v>
      </c>
      <c r="M71" s="1308">
        <f t="shared" si="6"/>
        <v>375</v>
      </c>
      <c r="N71" s="1317">
        <v>0</v>
      </c>
      <c r="O71" s="1317">
        <v>110</v>
      </c>
      <c r="P71" s="1317">
        <v>35</v>
      </c>
      <c r="Q71" s="1312">
        <v>130</v>
      </c>
      <c r="R71" s="1315">
        <v>0.5</v>
      </c>
      <c r="S71" s="1304">
        <v>145</v>
      </c>
      <c r="T71" s="1305">
        <v>17</v>
      </c>
      <c r="U71" s="1305">
        <v>4.5</v>
      </c>
      <c r="V71" s="1305">
        <v>1.3</v>
      </c>
      <c r="W71" s="1305">
        <v>2.6</v>
      </c>
      <c r="X71" s="1313">
        <v>32</v>
      </c>
      <c r="Y71" s="1359" t="s">
        <v>369</v>
      </c>
      <c r="Z71" s="1397"/>
      <c r="AA71" s="485" t="str">
        <f t="shared" si="2"/>
        <v/>
      </c>
      <c r="AB71" s="482"/>
      <c r="AC71" s="482"/>
      <c r="AD71" s="482"/>
      <c r="AE71" s="482"/>
      <c r="AF71" s="482"/>
      <c r="AG71" s="482"/>
    </row>
    <row r="72" spans="1:35" s="450" customFormat="1" ht="17.25" customHeight="1" x14ac:dyDescent="0.2">
      <c r="A72" s="483"/>
      <c r="B72" s="1303" t="s">
        <v>192</v>
      </c>
      <c r="C72" s="1304">
        <v>220</v>
      </c>
      <c r="D72" s="1305">
        <v>6.94</v>
      </c>
      <c r="E72" s="1305">
        <v>11.33</v>
      </c>
      <c r="F72" s="1306">
        <v>185</v>
      </c>
      <c r="G72" s="1307">
        <v>0.15</v>
      </c>
      <c r="H72" s="1308">
        <f t="shared" si="7"/>
        <v>152</v>
      </c>
      <c r="I72" s="1309" t="str">
        <f t="shared" si="9"/>
        <v>+5</v>
      </c>
      <c r="J72" s="1310">
        <f t="shared" si="8"/>
        <v>2.5</v>
      </c>
      <c r="K72" s="1308">
        <f>1.2*Q72</f>
        <v>276</v>
      </c>
      <c r="L72" s="1308">
        <f>1.9*Q72</f>
        <v>437</v>
      </c>
      <c r="M72" s="1308">
        <f t="shared" si="6"/>
        <v>238</v>
      </c>
      <c r="N72" s="1317">
        <v>0</v>
      </c>
      <c r="O72" s="1317">
        <v>120</v>
      </c>
      <c r="P72" s="1317">
        <v>40</v>
      </c>
      <c r="Q72" s="1312">
        <v>230</v>
      </c>
      <c r="R72" s="1315">
        <v>0.75</v>
      </c>
      <c r="S72" s="1304">
        <v>100</v>
      </c>
      <c r="T72" s="1305">
        <v>7.5</v>
      </c>
      <c r="U72" s="1305">
        <v>6.6</v>
      </c>
      <c r="V72" s="1305">
        <v>1</v>
      </c>
      <c r="W72" s="1305">
        <v>1.6</v>
      </c>
      <c r="X72" s="1313">
        <v>28</v>
      </c>
      <c r="Y72" s="1359" t="s">
        <v>369</v>
      </c>
      <c r="Z72" s="1397"/>
      <c r="AA72" s="485" t="str">
        <f t="shared" si="2"/>
        <v/>
      </c>
      <c r="AB72" s="482"/>
      <c r="AC72" s="482"/>
      <c r="AD72" s="482"/>
      <c r="AE72" s="482"/>
      <c r="AF72" s="482"/>
      <c r="AG72" s="482"/>
    </row>
    <row r="73" spans="1:35" s="450" customFormat="1" ht="17.25" customHeight="1" x14ac:dyDescent="0.2">
      <c r="A73" s="483"/>
      <c r="B73" s="1303" t="s">
        <v>118</v>
      </c>
      <c r="C73" s="1304">
        <v>160</v>
      </c>
      <c r="D73" s="1305">
        <v>6.5</v>
      </c>
      <c r="E73" s="1305">
        <v>10.5</v>
      </c>
      <c r="F73" s="1306">
        <v>160</v>
      </c>
      <c r="G73" s="1307">
        <v>0.15</v>
      </c>
      <c r="H73" s="1308">
        <f t="shared" si="7"/>
        <v>139</v>
      </c>
      <c r="I73" s="1309" t="str">
        <f t="shared" si="9"/>
        <v>+3</v>
      </c>
      <c r="J73" s="1310">
        <v>1.5</v>
      </c>
      <c r="K73" s="1308">
        <v>125</v>
      </c>
      <c r="L73" s="1308">
        <v>310</v>
      </c>
      <c r="M73" s="1308">
        <f t="shared" si="6"/>
        <v>345</v>
      </c>
      <c r="N73" s="1317">
        <v>0</v>
      </c>
      <c r="O73" s="1317">
        <v>220</v>
      </c>
      <c r="P73" s="1317">
        <v>20</v>
      </c>
      <c r="Q73" s="1312">
        <v>110</v>
      </c>
      <c r="R73" s="1315">
        <v>0.5</v>
      </c>
      <c r="S73" s="1304">
        <v>165</v>
      </c>
      <c r="T73" s="1305">
        <f>2.1/0.16</f>
        <v>13.125</v>
      </c>
      <c r="U73" s="1305">
        <f>0.4/0.16</f>
        <v>2.5</v>
      </c>
      <c r="V73" s="1305">
        <f>0.9/0.16</f>
        <v>5.625</v>
      </c>
      <c r="W73" s="1305">
        <f>0.7/0.16</f>
        <v>4.375</v>
      </c>
      <c r="X73" s="1313">
        <f>5/0.16</f>
        <v>31.25</v>
      </c>
      <c r="Y73" s="1359" t="s">
        <v>369</v>
      </c>
      <c r="Z73" s="1397"/>
      <c r="AA73" s="485" t="str">
        <f t="shared" si="2"/>
        <v/>
      </c>
      <c r="AB73" s="482"/>
      <c r="AC73" s="482"/>
      <c r="AD73" s="495"/>
      <c r="AE73" s="482"/>
      <c r="AF73" s="482"/>
      <c r="AG73" s="496"/>
    </row>
    <row r="74" spans="1:35" s="450" customFormat="1" ht="17.25" customHeight="1" x14ac:dyDescent="0.2">
      <c r="A74" s="483"/>
      <c r="B74" s="1303" t="s">
        <v>138</v>
      </c>
      <c r="C74" s="1304">
        <v>60</v>
      </c>
      <c r="D74" s="1305">
        <v>7.92</v>
      </c>
      <c r="E74" s="1305">
        <v>12.9</v>
      </c>
      <c r="F74" s="1306">
        <v>360</v>
      </c>
      <c r="G74" s="1307">
        <v>0.3</v>
      </c>
      <c r="H74" s="1308">
        <f t="shared" si="7"/>
        <v>239</v>
      </c>
      <c r="I74" s="1309" t="str">
        <f t="shared" si="9"/>
        <v>+19</v>
      </c>
      <c r="J74" s="1310">
        <v>0</v>
      </c>
      <c r="K74" s="1308">
        <v>0</v>
      </c>
      <c r="L74" s="1308">
        <v>148</v>
      </c>
      <c r="M74" s="1308">
        <f t="shared" si="6"/>
        <v>372</v>
      </c>
      <c r="N74" s="1317">
        <v>175</v>
      </c>
      <c r="O74" s="1317">
        <v>20</v>
      </c>
      <c r="P74" s="1317">
        <v>70</v>
      </c>
      <c r="Q74" s="1312">
        <v>100</v>
      </c>
      <c r="R74" s="1315">
        <v>0</v>
      </c>
      <c r="S74" s="1304">
        <v>50</v>
      </c>
      <c r="T74" s="1305">
        <v>3.5</v>
      </c>
      <c r="U74" s="1305">
        <v>5.3</v>
      </c>
      <c r="V74" s="1305">
        <v>3.1</v>
      </c>
      <c r="W74" s="1305">
        <v>2.4</v>
      </c>
      <c r="X74" s="1313">
        <v>8</v>
      </c>
      <c r="Y74" s="1359" t="s">
        <v>369</v>
      </c>
      <c r="Z74" s="1397"/>
      <c r="AA74" s="485" t="str">
        <f t="shared" si="2"/>
        <v/>
      </c>
      <c r="AB74" s="482">
        <f>+Q74</f>
        <v>100</v>
      </c>
      <c r="AC74" s="482">
        <f>IF(M74=0,0.0001,M74)</f>
        <v>372</v>
      </c>
      <c r="AD74" s="495">
        <v>0.1</v>
      </c>
      <c r="AE74" s="482">
        <f>+AC74*AD74</f>
        <v>37.200000000000003</v>
      </c>
      <c r="AF74" s="482">
        <f>+O74</f>
        <v>20</v>
      </c>
      <c r="AG74" s="496">
        <f>0.9-1.3*AD74</f>
        <v>0.77</v>
      </c>
    </row>
    <row r="75" spans="1:35" s="450" customFormat="1" ht="17.25" customHeight="1" x14ac:dyDescent="0.2">
      <c r="A75" s="483"/>
      <c r="B75" s="1303" t="s">
        <v>137</v>
      </c>
      <c r="C75" s="1304">
        <v>60</v>
      </c>
      <c r="D75" s="1305">
        <v>7.5</v>
      </c>
      <c r="E75" s="1305">
        <v>11.98</v>
      </c>
      <c r="F75" s="1306">
        <v>308</v>
      </c>
      <c r="G75" s="1307">
        <v>0.3</v>
      </c>
      <c r="H75" s="1308">
        <f t="shared" si="7"/>
        <v>214</v>
      </c>
      <c r="I75" s="1309" t="str">
        <f t="shared" si="9"/>
        <v>+15</v>
      </c>
      <c r="J75" s="1310">
        <v>0</v>
      </c>
      <c r="K75" s="1308">
        <v>0</v>
      </c>
      <c r="L75" s="1308">
        <v>13</v>
      </c>
      <c r="M75" s="1308">
        <f t="shared" si="6"/>
        <v>529</v>
      </c>
      <c r="N75" s="1316">
        <v>27</v>
      </c>
      <c r="O75" s="1317">
        <v>0</v>
      </c>
      <c r="P75" s="1317">
        <v>15</v>
      </c>
      <c r="Q75" s="1312">
        <v>70</v>
      </c>
      <c r="R75" s="1315">
        <v>0</v>
      </c>
      <c r="S75" s="1304">
        <v>135</v>
      </c>
      <c r="T75" s="1305">
        <v>2.8</v>
      </c>
      <c r="U75" s="1305">
        <v>7.3</v>
      </c>
      <c r="V75" s="1305">
        <v>0.6</v>
      </c>
      <c r="W75" s="1305">
        <v>0.5</v>
      </c>
      <c r="X75" s="1313">
        <v>55</v>
      </c>
      <c r="Y75" s="1359" t="s">
        <v>369</v>
      </c>
      <c r="Z75" s="1397"/>
      <c r="AA75" s="485" t="str">
        <f t="shared" si="2"/>
        <v/>
      </c>
      <c r="AB75" s="482">
        <f>+Q75</f>
        <v>70</v>
      </c>
      <c r="AC75" s="482">
        <f>IF(M75=0,0.0001,M75)</f>
        <v>529</v>
      </c>
      <c r="AD75" s="495">
        <v>0.1</v>
      </c>
      <c r="AE75" s="482">
        <f>+AC75*AD75</f>
        <v>52.900000000000006</v>
      </c>
      <c r="AF75" s="482">
        <f>+O75</f>
        <v>0</v>
      </c>
      <c r="AG75" s="496">
        <f>0.9-1.3*AD75</f>
        <v>0.77</v>
      </c>
    </row>
    <row r="76" spans="1:35" s="450" customFormat="1" ht="12" x14ac:dyDescent="0.2">
      <c r="A76" s="483"/>
      <c r="B76" s="1303" t="s">
        <v>119</v>
      </c>
      <c r="C76" s="1304">
        <v>230</v>
      </c>
      <c r="D76" s="1305">
        <v>8</v>
      </c>
      <c r="E76" s="1305">
        <v>12.6</v>
      </c>
      <c r="F76" s="1306">
        <v>60</v>
      </c>
      <c r="G76" s="1307">
        <v>0.2</v>
      </c>
      <c r="H76" s="1308">
        <f t="shared" si="7"/>
        <v>145</v>
      </c>
      <c r="I76" s="1309">
        <f t="shared" si="9"/>
        <v>-14</v>
      </c>
      <c r="J76" s="1310">
        <v>0.8</v>
      </c>
      <c r="K76" s="1308">
        <v>0</v>
      </c>
      <c r="L76" s="1308">
        <v>0</v>
      </c>
      <c r="M76" s="1308">
        <f t="shared" si="6"/>
        <v>870</v>
      </c>
      <c r="N76" s="1317">
        <v>0</v>
      </c>
      <c r="O76" s="1317">
        <v>695</v>
      </c>
      <c r="P76" s="1317">
        <v>20</v>
      </c>
      <c r="Q76" s="1312">
        <v>52</v>
      </c>
      <c r="R76" s="1315">
        <v>0</v>
      </c>
      <c r="S76" s="1304">
        <v>50</v>
      </c>
      <c r="T76" s="1305">
        <v>2.6</v>
      </c>
      <c r="U76" s="1305">
        <v>1.7</v>
      </c>
      <c r="V76" s="1305">
        <v>0.9</v>
      </c>
      <c r="W76" s="1305">
        <v>1.7</v>
      </c>
      <c r="X76" s="1313">
        <v>15</v>
      </c>
      <c r="Y76" s="1359" t="s">
        <v>369</v>
      </c>
      <c r="Z76" s="1397"/>
      <c r="AA76" s="485" t="str">
        <f t="shared" si="2"/>
        <v/>
      </c>
      <c r="AB76" s="482"/>
      <c r="AC76" s="482"/>
      <c r="AD76" s="495"/>
      <c r="AE76" s="482"/>
      <c r="AF76" s="482"/>
      <c r="AG76" s="496"/>
    </row>
    <row r="77" spans="1:35" s="487" customFormat="1" ht="12" x14ac:dyDescent="0.2">
      <c r="A77" s="488"/>
      <c r="B77" s="1318"/>
      <c r="C77" s="1319"/>
      <c r="D77" s="1320"/>
      <c r="E77" s="1320"/>
      <c r="F77" s="1321"/>
      <c r="G77" s="1320"/>
      <c r="H77" s="1320"/>
      <c r="I77" s="1320"/>
      <c r="J77" s="1320"/>
      <c r="K77" s="1320"/>
      <c r="L77" s="1320"/>
      <c r="M77" s="1320"/>
      <c r="N77" s="1320"/>
      <c r="O77" s="1322"/>
      <c r="P77" s="1322"/>
      <c r="Q77" s="1320"/>
      <c r="R77" s="1320"/>
      <c r="S77" s="1319"/>
      <c r="T77" s="1320"/>
      <c r="U77" s="1323"/>
      <c r="V77" s="1323"/>
      <c r="W77" s="1323"/>
      <c r="X77" s="1324"/>
      <c r="Y77" s="1324"/>
      <c r="Z77" s="1376"/>
      <c r="AA77" s="485"/>
      <c r="AB77" s="486"/>
      <c r="AC77" s="486"/>
      <c r="AD77" s="486"/>
      <c r="AE77" s="486"/>
      <c r="AF77" s="486"/>
      <c r="AG77" s="486"/>
      <c r="AI77" s="450"/>
    </row>
    <row r="78" spans="1:35" s="450" customFormat="1" ht="17.25" customHeight="1" x14ac:dyDescent="0.2">
      <c r="A78" s="472" t="s">
        <v>84</v>
      </c>
      <c r="B78" s="1325"/>
      <c r="C78" s="1326">
        <v>1E-4</v>
      </c>
      <c r="D78" s="1327">
        <v>1E-4</v>
      </c>
      <c r="E78" s="1327">
        <v>1E-4</v>
      </c>
      <c r="F78" s="1328">
        <v>1E-4</v>
      </c>
      <c r="G78" s="1327">
        <v>1E-4</v>
      </c>
      <c r="H78" s="1327">
        <v>1E-4</v>
      </c>
      <c r="I78" s="1327">
        <v>1E-4</v>
      </c>
      <c r="J78" s="1327">
        <v>1E-4</v>
      </c>
      <c r="K78" s="1327">
        <v>1E-4</v>
      </c>
      <c r="L78" s="1327">
        <v>1E-4</v>
      </c>
      <c r="M78" s="1327">
        <v>1E-4</v>
      </c>
      <c r="N78" s="1327">
        <v>1E-4</v>
      </c>
      <c r="O78" s="1327">
        <v>1E-4</v>
      </c>
      <c r="P78" s="1327">
        <v>1E-4</v>
      </c>
      <c r="Q78" s="1327">
        <v>1E-4</v>
      </c>
      <c r="R78" s="1327">
        <v>1E-4</v>
      </c>
      <c r="S78" s="1326">
        <v>1E-4</v>
      </c>
      <c r="T78" s="1327">
        <v>1E-4</v>
      </c>
      <c r="U78" s="1329">
        <v>1E-4</v>
      </c>
      <c r="V78" s="1329">
        <v>1E-4</v>
      </c>
      <c r="W78" s="1329">
        <v>1E-4</v>
      </c>
      <c r="X78" s="1330">
        <v>1E-4</v>
      </c>
      <c r="Y78" s="1330">
        <v>1E-4</v>
      </c>
      <c r="Z78" s="1377"/>
      <c r="AA78" s="453"/>
      <c r="AB78" s="479"/>
      <c r="AC78" s="479"/>
      <c r="AD78" s="479"/>
      <c r="AE78" s="479"/>
      <c r="AF78" s="479"/>
      <c r="AG78" s="479"/>
    </row>
    <row r="79" spans="1:35" s="450" customFormat="1" ht="17.25" customHeight="1" x14ac:dyDescent="0.2">
      <c r="A79" s="483"/>
      <c r="B79" s="1303" t="s">
        <v>85</v>
      </c>
      <c r="C79" s="1304">
        <v>230</v>
      </c>
      <c r="D79" s="1305">
        <v>6.72</v>
      </c>
      <c r="E79" s="1305">
        <v>11.26</v>
      </c>
      <c r="F79" s="1306">
        <v>235</v>
      </c>
      <c r="G79" s="1307">
        <v>0.4</v>
      </c>
      <c r="H79" s="1308">
        <f t="shared" ref="H79:H85" si="10">ROUND((11.93-(6.82*G79))*E79+1.03*G79*F79,0)</f>
        <v>200</v>
      </c>
      <c r="I79" s="1309" t="str">
        <f>IF((F79-H79)/6.25&lt;0,ROUND((F79-H79)/6.25,0),"+"&amp;ROUND(((F79-H79)/6.25),0))</f>
        <v>+6</v>
      </c>
      <c r="J79" s="1310">
        <v>1.05</v>
      </c>
      <c r="K79" s="1308">
        <v>299</v>
      </c>
      <c r="L79" s="1308">
        <v>581</v>
      </c>
      <c r="M79" s="1308">
        <v>57</v>
      </c>
      <c r="N79" s="1311">
        <v>20</v>
      </c>
      <c r="O79" s="1311">
        <v>6</v>
      </c>
      <c r="P79" s="1311">
        <v>83</v>
      </c>
      <c r="Q79" s="1312">
        <v>215</v>
      </c>
      <c r="R79" s="1315">
        <v>0.25</v>
      </c>
      <c r="S79" s="1304">
        <v>45</v>
      </c>
      <c r="T79" s="1305">
        <v>4.3</v>
      </c>
      <c r="U79" s="1305">
        <v>8.5</v>
      </c>
      <c r="V79" s="1305">
        <v>0.2</v>
      </c>
      <c r="W79" s="1305">
        <v>2.1</v>
      </c>
      <c r="X79" s="1313">
        <v>2.2000000000000002</v>
      </c>
      <c r="Y79" s="1359" t="s">
        <v>369</v>
      </c>
      <c r="Z79" s="1397"/>
      <c r="AA79" s="485" t="str">
        <f t="shared" ref="AA79:AA114" si="11">IF(COUNTA(B79:Y79)&lt;21,"x","")</f>
        <v/>
      </c>
      <c r="AB79" s="482">
        <f>+Q79</f>
        <v>215</v>
      </c>
      <c r="AC79" s="482">
        <f>IF(N79=0,0.0001,N79)</f>
        <v>20</v>
      </c>
      <c r="AD79" s="495">
        <v>0.1</v>
      </c>
      <c r="AE79" s="482">
        <f>+AC79*AD79</f>
        <v>2</v>
      </c>
      <c r="AF79" s="482">
        <f>+O79</f>
        <v>6</v>
      </c>
      <c r="AG79" s="496">
        <f>0.9-1.3*AD79</f>
        <v>0.77</v>
      </c>
    </row>
    <row r="80" spans="1:35" s="450" customFormat="1" ht="17.25" customHeight="1" x14ac:dyDescent="0.2">
      <c r="A80" s="483"/>
      <c r="B80" s="1303" t="s">
        <v>86</v>
      </c>
      <c r="C80" s="1304">
        <v>600</v>
      </c>
      <c r="D80" s="1305">
        <v>7.99</v>
      </c>
      <c r="E80" s="1305">
        <v>12.78</v>
      </c>
      <c r="F80" s="1306">
        <v>100</v>
      </c>
      <c r="G80" s="1307">
        <v>0.35</v>
      </c>
      <c r="H80" s="1308">
        <f t="shared" si="10"/>
        <v>158</v>
      </c>
      <c r="I80" s="1309">
        <f>IF((F80-H80)/6.25&lt;0,ROUND((F80-H80)/6.25,0),"+"&amp;ROUND(((F80-H80)/6.25),0))</f>
        <v>-9</v>
      </c>
      <c r="J80" s="1310">
        <f>ROUND(0.321+0.00098*AB80+0.00025*AE80-(0.00112*(AF80+AG80*(AC80-AE80))),2)</f>
        <v>0.17</v>
      </c>
      <c r="K80" s="1308">
        <f>Q80*1.16</f>
        <v>63.8</v>
      </c>
      <c r="L80" s="1308">
        <f>Q80*3</f>
        <v>165</v>
      </c>
      <c r="M80" s="1308">
        <f t="shared" ref="M80:M113" si="12">IF(AND(S80&lt;&gt;"",F80&lt;&gt;"",L80&lt;&gt;"",P80&lt;&gt;""),1000-F80-L80-P80-S80,"Fehler")</f>
        <v>670</v>
      </c>
      <c r="N80" s="1308">
        <v>630</v>
      </c>
      <c r="O80" s="1311">
        <v>4</v>
      </c>
      <c r="P80" s="1311">
        <v>45</v>
      </c>
      <c r="Q80" s="1312">
        <v>55</v>
      </c>
      <c r="R80" s="1315">
        <v>0</v>
      </c>
      <c r="S80" s="1304">
        <v>20</v>
      </c>
      <c r="T80" s="1305">
        <v>0.4</v>
      </c>
      <c r="U80" s="1305">
        <v>3.5</v>
      </c>
      <c r="V80" s="1305">
        <v>0.2</v>
      </c>
      <c r="W80" s="1305">
        <v>1.3</v>
      </c>
      <c r="X80" s="1313">
        <v>4</v>
      </c>
      <c r="Y80" s="1359" t="s">
        <v>369</v>
      </c>
      <c r="Z80" s="1397"/>
      <c r="AA80" s="485" t="str">
        <f t="shared" si="11"/>
        <v/>
      </c>
      <c r="AB80" s="482">
        <f>+Q80</f>
        <v>55</v>
      </c>
      <c r="AC80" s="482">
        <f>IF(N80=0,0.0001,N80)</f>
        <v>630</v>
      </c>
      <c r="AD80" s="495">
        <v>0.3</v>
      </c>
      <c r="AE80" s="482">
        <f>+AC80*AD80</f>
        <v>189</v>
      </c>
      <c r="AF80" s="482">
        <f>+O80</f>
        <v>4</v>
      </c>
      <c r="AG80" s="496">
        <f>0.9-1.3*AD80</f>
        <v>0.51</v>
      </c>
    </row>
    <row r="81" spans="1:33" s="450" customFormat="1" ht="17.25" customHeight="1" x14ac:dyDescent="0.2">
      <c r="A81" s="483"/>
      <c r="B81" s="1303" t="s">
        <v>196</v>
      </c>
      <c r="C81" s="1304">
        <v>350</v>
      </c>
      <c r="D81" s="1305">
        <v>5.69</v>
      </c>
      <c r="E81" s="1305">
        <v>9.67</v>
      </c>
      <c r="F81" s="1306">
        <v>180</v>
      </c>
      <c r="G81" s="1307">
        <v>0.15</v>
      </c>
      <c r="H81" s="1308">
        <f t="shared" si="10"/>
        <v>133</v>
      </c>
      <c r="I81" s="1309" t="str">
        <f>IF((F81-H81)/6.25&lt;0,ROUND((F81-H81)/6.25,0),"+"&amp;ROUND(((F81-H81)/6.25),0))</f>
        <v>+8</v>
      </c>
      <c r="J81" s="1310">
        <v>3.18</v>
      </c>
      <c r="K81" s="1308">
        <f>Q81*1.3</f>
        <v>364</v>
      </c>
      <c r="L81" s="1308">
        <f>Q81*2.2</f>
        <v>616</v>
      </c>
      <c r="M81" s="1308">
        <f t="shared" si="12"/>
        <v>104</v>
      </c>
      <c r="N81" s="1308">
        <v>120</v>
      </c>
      <c r="O81" s="1311">
        <v>30</v>
      </c>
      <c r="P81" s="1311">
        <v>20</v>
      </c>
      <c r="Q81" s="1312">
        <v>280</v>
      </c>
      <c r="R81" s="1315">
        <v>1</v>
      </c>
      <c r="S81" s="1304">
        <v>80</v>
      </c>
      <c r="T81" s="1305">
        <v>10</v>
      </c>
      <c r="U81" s="1305">
        <v>3.6</v>
      </c>
      <c r="V81" s="1305">
        <v>2</v>
      </c>
      <c r="W81" s="1305">
        <v>3.3</v>
      </c>
      <c r="X81" s="1313">
        <v>20</v>
      </c>
      <c r="Y81" s="1359" t="s">
        <v>369</v>
      </c>
      <c r="Z81" s="1397"/>
      <c r="AA81" s="485" t="str">
        <f t="shared" si="11"/>
        <v/>
      </c>
      <c r="AB81" s="482">
        <f>+Q81</f>
        <v>280</v>
      </c>
      <c r="AC81" s="482">
        <f>IF(N81=0,0.0001,N81)</f>
        <v>120</v>
      </c>
      <c r="AD81" s="495">
        <v>0.1</v>
      </c>
      <c r="AE81" s="482">
        <f>+AC81*AD81</f>
        <v>12</v>
      </c>
      <c r="AF81" s="482">
        <f>+O81</f>
        <v>30</v>
      </c>
      <c r="AG81" s="496">
        <f>0.9-1.3*AD81</f>
        <v>0.77</v>
      </c>
    </row>
    <row r="82" spans="1:33" s="450" customFormat="1" ht="17.25" customHeight="1" x14ac:dyDescent="0.2">
      <c r="A82" s="483"/>
      <c r="B82" s="1303" t="s">
        <v>87</v>
      </c>
      <c r="C82" s="1304">
        <v>450</v>
      </c>
      <c r="D82" s="1305">
        <v>5.7</v>
      </c>
      <c r="E82" s="1305">
        <v>9.6</v>
      </c>
      <c r="F82" s="1306">
        <v>97</v>
      </c>
      <c r="G82" s="1307">
        <v>0.2</v>
      </c>
      <c r="H82" s="1308">
        <f t="shared" si="10"/>
        <v>121</v>
      </c>
      <c r="I82" s="1309">
        <f>IF((F82-H82)/6.25&lt;0,ROUND((F82-H82)/6.25,0),"+"&amp;ROUND(((F82-H82)/6.25),0))</f>
        <v>-4</v>
      </c>
      <c r="J82" s="1310">
        <v>1.94</v>
      </c>
      <c r="K82" s="1308">
        <v>295</v>
      </c>
      <c r="L82" s="1308">
        <v>510</v>
      </c>
      <c r="M82" s="1308">
        <f t="shared" si="12"/>
        <v>313</v>
      </c>
      <c r="N82" s="1308">
        <v>240</v>
      </c>
      <c r="O82" s="1311">
        <v>30</v>
      </c>
      <c r="P82" s="1311">
        <v>20</v>
      </c>
      <c r="Q82" s="1312">
        <v>215</v>
      </c>
      <c r="R82" s="1315">
        <v>1</v>
      </c>
      <c r="S82" s="1304">
        <v>60</v>
      </c>
      <c r="T82" s="1305">
        <v>2.9</v>
      </c>
      <c r="U82" s="1305">
        <v>2.9</v>
      </c>
      <c r="V82" s="1305">
        <v>0.4</v>
      </c>
      <c r="W82" s="1305">
        <v>1.1000000000000001</v>
      </c>
      <c r="X82" s="1313">
        <v>14</v>
      </c>
      <c r="Y82" s="1359" t="s">
        <v>369</v>
      </c>
      <c r="Z82" s="1397"/>
      <c r="AA82" s="485" t="str">
        <f t="shared" si="11"/>
        <v/>
      </c>
      <c r="AB82" s="482">
        <f>+Q82</f>
        <v>215</v>
      </c>
      <c r="AC82" s="482">
        <f>IF(N82=0,0.0001,N82)</f>
        <v>240</v>
      </c>
      <c r="AD82" s="495">
        <v>0.1</v>
      </c>
      <c r="AE82" s="482">
        <f>+AC82*AD82</f>
        <v>24</v>
      </c>
      <c r="AF82" s="482">
        <f>+O82</f>
        <v>30</v>
      </c>
      <c r="AG82" s="496">
        <f>0.9-1.3*AD82</f>
        <v>0.77</v>
      </c>
    </row>
    <row r="83" spans="1:33" s="450" customFormat="1" ht="17.25" customHeight="1" x14ac:dyDescent="0.2">
      <c r="A83" s="483"/>
      <c r="B83" s="1303" t="s">
        <v>197</v>
      </c>
      <c r="C83" s="1304">
        <v>450</v>
      </c>
      <c r="D83" s="1305">
        <v>5.5</v>
      </c>
      <c r="E83" s="1305">
        <v>9.3000000000000007</v>
      </c>
      <c r="F83" s="1306">
        <v>93</v>
      </c>
      <c r="G83" s="1307">
        <v>0.2</v>
      </c>
      <c r="H83" s="1308">
        <f t="shared" si="10"/>
        <v>117</v>
      </c>
      <c r="I83" s="1309">
        <f>IF((F83-H83)/6.25&lt;0,ROUND((F83-H83)/6.25,0),"+"&amp;ROUND(((F83-H83)/6.25),0))</f>
        <v>-4</v>
      </c>
      <c r="J83" s="1310">
        <v>1.94</v>
      </c>
      <c r="K83" s="1308">
        <v>290</v>
      </c>
      <c r="L83" s="1308">
        <v>345</v>
      </c>
      <c r="M83" s="1308">
        <f t="shared" si="12"/>
        <v>482</v>
      </c>
      <c r="N83" s="1308">
        <v>245</v>
      </c>
      <c r="O83" s="1311">
        <v>30</v>
      </c>
      <c r="P83" s="1311">
        <v>20</v>
      </c>
      <c r="Q83" s="1312">
        <v>215</v>
      </c>
      <c r="R83" s="1315">
        <v>1</v>
      </c>
      <c r="S83" s="1304">
        <v>60</v>
      </c>
      <c r="T83" s="1305">
        <v>2.7</v>
      </c>
      <c r="U83" s="1305">
        <v>2.7</v>
      </c>
      <c r="V83" s="1305">
        <v>0.2</v>
      </c>
      <c r="W83" s="1305">
        <v>1.1000000000000001</v>
      </c>
      <c r="X83" s="1313">
        <v>13</v>
      </c>
      <c r="Y83" s="1359" t="s">
        <v>369</v>
      </c>
      <c r="Z83" s="1397"/>
      <c r="AA83" s="485" t="str">
        <f t="shared" si="11"/>
        <v/>
      </c>
      <c r="AB83" s="482">
        <f>+Q83</f>
        <v>215</v>
      </c>
      <c r="AC83" s="482">
        <f>IF(N83=0,0.0001,N83)</f>
        <v>245</v>
      </c>
      <c r="AD83" s="495">
        <v>0.1</v>
      </c>
      <c r="AE83" s="482">
        <f>+AC83*AD83</f>
        <v>24.5</v>
      </c>
      <c r="AF83" s="482">
        <f>+O83</f>
        <v>30</v>
      </c>
      <c r="AG83" s="496">
        <f>0.9-1.3*AD83</f>
        <v>0.77</v>
      </c>
    </row>
    <row r="84" spans="1:33" s="450" customFormat="1" ht="17.25" customHeight="1" x14ac:dyDescent="0.2">
      <c r="A84" s="483"/>
      <c r="B84" s="1303" t="s">
        <v>172</v>
      </c>
      <c r="C84" s="1314">
        <v>380</v>
      </c>
      <c r="D84" s="1305">
        <v>6.8</v>
      </c>
      <c r="E84" s="1305">
        <v>11.2</v>
      </c>
      <c r="F84" s="1306">
        <v>170</v>
      </c>
      <c r="G84" s="1307">
        <v>0.15</v>
      </c>
      <c r="H84" s="1308">
        <v>147</v>
      </c>
      <c r="I84" s="1309" t="str">
        <f t="shared" ref="I84:I92" si="13">IF((F84-H84)/6.25&lt;0,ROUND((F84-H84)/6.25,0),"+"&amp;ROUND(((F84-H84)/6.25),0))</f>
        <v>+4</v>
      </c>
      <c r="J84" s="1310">
        <f>ROUND(L84*0.006+0.15,1)</f>
        <v>2.4</v>
      </c>
      <c r="K84" s="1308">
        <v>235</v>
      </c>
      <c r="L84" s="1308">
        <v>383</v>
      </c>
      <c r="M84" s="1308">
        <f t="shared" si="12"/>
        <v>311</v>
      </c>
      <c r="N84" s="1311">
        <v>0</v>
      </c>
      <c r="O84" s="1308">
        <v>93</v>
      </c>
      <c r="P84" s="1311">
        <v>40</v>
      </c>
      <c r="Q84" s="1308">
        <v>207</v>
      </c>
      <c r="R84" s="1315">
        <v>1</v>
      </c>
      <c r="S84" s="1304">
        <v>96</v>
      </c>
      <c r="T84" s="1305">
        <v>6.7</v>
      </c>
      <c r="U84" s="1305">
        <v>3.7</v>
      </c>
      <c r="V84" s="1305">
        <v>0.6</v>
      </c>
      <c r="W84" s="1305">
        <v>2.1</v>
      </c>
      <c r="X84" s="1313">
        <v>30</v>
      </c>
      <c r="Y84" s="1359" t="s">
        <v>369</v>
      </c>
      <c r="Z84" s="1397"/>
      <c r="AA84" s="485" t="str">
        <f t="shared" si="11"/>
        <v/>
      </c>
      <c r="AB84" s="482"/>
      <c r="AC84" s="482"/>
      <c r="AD84" s="482"/>
      <c r="AE84" s="482"/>
      <c r="AF84" s="482"/>
      <c r="AG84" s="482"/>
    </row>
    <row r="85" spans="1:33" s="450" customFormat="1" ht="17.25" customHeight="1" x14ac:dyDescent="0.2">
      <c r="A85" s="483"/>
      <c r="B85" s="1303" t="s">
        <v>147</v>
      </c>
      <c r="C85" s="1314">
        <f>ROUND(AVERAGE(365,332,323),-1)</f>
        <v>340</v>
      </c>
      <c r="D85" s="1305">
        <v>6.2</v>
      </c>
      <c r="E85" s="1305">
        <v>10.3</v>
      </c>
      <c r="F85" s="1306">
        <f>ROUND(AVERAGE(165,149,151),1)</f>
        <v>155</v>
      </c>
      <c r="G85" s="1307">
        <v>0.15</v>
      </c>
      <c r="H85" s="1308">
        <f t="shared" si="10"/>
        <v>136</v>
      </c>
      <c r="I85" s="1309" t="str">
        <f t="shared" si="13"/>
        <v>+3</v>
      </c>
      <c r="J85" s="1310">
        <f t="shared" ref="J85:J95" si="14">ROUND(L85*0.006+0.15,1)</f>
        <v>2.7</v>
      </c>
      <c r="K85" s="1308">
        <v>274</v>
      </c>
      <c r="L85" s="1308">
        <v>426</v>
      </c>
      <c r="M85" s="1308">
        <f t="shared" si="12"/>
        <v>277</v>
      </c>
      <c r="N85" s="1311">
        <v>0</v>
      </c>
      <c r="O85" s="1308">
        <v>47</v>
      </c>
      <c r="P85" s="1311">
        <v>40</v>
      </c>
      <c r="Q85" s="1308">
        <v>232</v>
      </c>
      <c r="R85" s="1315">
        <v>1</v>
      </c>
      <c r="S85" s="1304">
        <v>102</v>
      </c>
      <c r="T85" s="1305">
        <v>7.2</v>
      </c>
      <c r="U85" s="1305">
        <v>3.6</v>
      </c>
      <c r="V85" s="1305">
        <v>0.5</v>
      </c>
      <c r="W85" s="1305">
        <v>2.1</v>
      </c>
      <c r="X85" s="1313">
        <v>28</v>
      </c>
      <c r="Y85" s="1359" t="s">
        <v>369</v>
      </c>
      <c r="Z85" s="1397"/>
      <c r="AA85" s="485" t="str">
        <f t="shared" si="11"/>
        <v/>
      </c>
      <c r="AB85" s="482"/>
      <c r="AC85" s="482"/>
      <c r="AD85" s="482"/>
      <c r="AE85" s="482"/>
      <c r="AF85" s="482"/>
      <c r="AG85" s="482"/>
    </row>
    <row r="86" spans="1:33" s="450" customFormat="1" ht="17.25" customHeight="1" x14ac:dyDescent="0.2">
      <c r="A86" s="483"/>
      <c r="B86" s="1303" t="s">
        <v>148</v>
      </c>
      <c r="C86" s="1314">
        <v>330</v>
      </c>
      <c r="D86" s="1305">
        <v>5.6</v>
      </c>
      <c r="E86" s="1305">
        <v>9.4</v>
      </c>
      <c r="F86" s="1306">
        <v>135</v>
      </c>
      <c r="G86" s="1307">
        <v>0.15</v>
      </c>
      <c r="H86" s="1308">
        <v>124</v>
      </c>
      <c r="I86" s="1309" t="str">
        <f t="shared" si="13"/>
        <v>+2</v>
      </c>
      <c r="J86" s="1310">
        <f t="shared" si="14"/>
        <v>3</v>
      </c>
      <c r="K86" s="1308">
        <v>313</v>
      </c>
      <c r="L86" s="1308">
        <v>468</v>
      </c>
      <c r="M86" s="1308">
        <f t="shared" si="12"/>
        <v>243</v>
      </c>
      <c r="N86" s="1311">
        <v>0</v>
      </c>
      <c r="O86" s="1308">
        <v>33</v>
      </c>
      <c r="P86" s="1311">
        <v>40</v>
      </c>
      <c r="Q86" s="1308">
        <v>259</v>
      </c>
      <c r="R86" s="1315">
        <v>1</v>
      </c>
      <c r="S86" s="1304">
        <v>114</v>
      </c>
      <c r="T86" s="1305">
        <v>7.8</v>
      </c>
      <c r="U86" s="1305">
        <v>3.3</v>
      </c>
      <c r="V86" s="1305">
        <v>0.5</v>
      </c>
      <c r="W86" s="1305">
        <v>2.1</v>
      </c>
      <c r="X86" s="1313">
        <v>26</v>
      </c>
      <c r="Y86" s="1359" t="s">
        <v>369</v>
      </c>
      <c r="Z86" s="1397"/>
      <c r="AA86" s="485" t="str">
        <f t="shared" si="11"/>
        <v/>
      </c>
      <c r="AB86" s="482"/>
      <c r="AC86" s="482"/>
      <c r="AD86" s="482"/>
      <c r="AE86" s="482"/>
      <c r="AF86" s="482"/>
      <c r="AG86" s="482"/>
    </row>
    <row r="87" spans="1:33" s="450" customFormat="1" ht="17.25" customHeight="1" x14ac:dyDescent="0.2">
      <c r="A87" s="483"/>
      <c r="B87" s="1303" t="s">
        <v>174</v>
      </c>
      <c r="C87" s="1314">
        <v>400</v>
      </c>
      <c r="D87" s="1305">
        <v>6.4</v>
      </c>
      <c r="E87" s="1305">
        <v>10.7</v>
      </c>
      <c r="F87" s="1306">
        <v>166</v>
      </c>
      <c r="G87" s="1307">
        <v>0.15</v>
      </c>
      <c r="H87" s="1308">
        <v>141</v>
      </c>
      <c r="I87" s="1309" t="str">
        <f t="shared" si="13"/>
        <v>+4</v>
      </c>
      <c r="J87" s="1310">
        <f t="shared" si="14"/>
        <v>2.6</v>
      </c>
      <c r="K87" s="1308">
        <v>258</v>
      </c>
      <c r="L87" s="1308">
        <v>411</v>
      </c>
      <c r="M87" s="1308">
        <f t="shared" si="12"/>
        <v>283</v>
      </c>
      <c r="N87" s="1311">
        <v>0</v>
      </c>
      <c r="O87" s="1308">
        <v>74</v>
      </c>
      <c r="P87" s="1311">
        <v>40</v>
      </c>
      <c r="Q87" s="1308">
        <v>217</v>
      </c>
      <c r="R87" s="1315">
        <v>1</v>
      </c>
      <c r="S87" s="1304">
        <v>100</v>
      </c>
      <c r="T87" s="1305">
        <v>8.3000000000000007</v>
      </c>
      <c r="U87" s="1305">
        <v>3.7</v>
      </c>
      <c r="V87" s="1305">
        <v>1</v>
      </c>
      <c r="W87" s="1305">
        <v>2.6</v>
      </c>
      <c r="X87" s="1313">
        <v>27</v>
      </c>
      <c r="Y87" s="1359" t="s">
        <v>369</v>
      </c>
      <c r="Z87" s="1397"/>
      <c r="AA87" s="485" t="str">
        <f t="shared" si="11"/>
        <v/>
      </c>
      <c r="AB87" s="482"/>
      <c r="AC87" s="482"/>
      <c r="AD87" s="482"/>
      <c r="AE87" s="482"/>
      <c r="AF87" s="482"/>
      <c r="AG87" s="482"/>
    </row>
    <row r="88" spans="1:33" s="450" customFormat="1" ht="17.25" customHeight="1" x14ac:dyDescent="0.2">
      <c r="A88" s="483"/>
      <c r="B88" s="1303" t="s">
        <v>175</v>
      </c>
      <c r="C88" s="1314">
        <v>390</v>
      </c>
      <c r="D88" s="1305">
        <v>6</v>
      </c>
      <c r="E88" s="1305">
        <v>10.1</v>
      </c>
      <c r="F88" s="1306">
        <v>151</v>
      </c>
      <c r="G88" s="1307">
        <v>0.15</v>
      </c>
      <c r="H88" s="1308">
        <v>133</v>
      </c>
      <c r="I88" s="1309" t="str">
        <f t="shared" si="13"/>
        <v>+3</v>
      </c>
      <c r="J88" s="1310">
        <f t="shared" si="14"/>
        <v>2.7</v>
      </c>
      <c r="K88" s="1308">
        <v>278</v>
      </c>
      <c r="L88" s="1308">
        <v>431</v>
      </c>
      <c r="M88" s="1308">
        <f t="shared" si="12"/>
        <v>273</v>
      </c>
      <c r="N88" s="1311">
        <v>0</v>
      </c>
      <c r="O88" s="1308">
        <v>59</v>
      </c>
      <c r="P88" s="1311">
        <v>40</v>
      </c>
      <c r="Q88" s="1308">
        <v>229</v>
      </c>
      <c r="R88" s="1315">
        <v>1</v>
      </c>
      <c r="S88" s="1304">
        <v>105</v>
      </c>
      <c r="T88" s="1305">
        <v>8.8000000000000007</v>
      </c>
      <c r="U88" s="1305">
        <v>3.5</v>
      </c>
      <c r="V88" s="1305">
        <v>0.8</v>
      </c>
      <c r="W88" s="1305">
        <v>2.7</v>
      </c>
      <c r="X88" s="1313">
        <v>25</v>
      </c>
      <c r="Y88" s="1359" t="s">
        <v>369</v>
      </c>
      <c r="Z88" s="1397"/>
      <c r="AA88" s="485" t="str">
        <f t="shared" si="11"/>
        <v/>
      </c>
      <c r="AB88" s="482"/>
      <c r="AC88" s="482"/>
      <c r="AD88" s="482"/>
      <c r="AE88" s="482"/>
      <c r="AF88" s="482"/>
      <c r="AG88" s="482"/>
    </row>
    <row r="89" spans="1:33" s="450" customFormat="1" ht="17.25" customHeight="1" x14ac:dyDescent="0.2">
      <c r="A89" s="483"/>
      <c r="B89" s="1303" t="s">
        <v>176</v>
      </c>
      <c r="C89" s="1314">
        <v>370</v>
      </c>
      <c r="D89" s="1305">
        <v>5.5</v>
      </c>
      <c r="E89" s="1305">
        <v>9.4</v>
      </c>
      <c r="F89" s="1306">
        <v>138</v>
      </c>
      <c r="G89" s="1307">
        <v>0.15</v>
      </c>
      <c r="H89" s="1308">
        <v>124</v>
      </c>
      <c r="I89" s="1309" t="str">
        <f t="shared" si="13"/>
        <v>+2</v>
      </c>
      <c r="J89" s="1310">
        <f t="shared" si="14"/>
        <v>2.9</v>
      </c>
      <c r="K89" s="1308">
        <v>303</v>
      </c>
      <c r="L89" s="1308">
        <v>450</v>
      </c>
      <c r="M89" s="1308">
        <f t="shared" si="12"/>
        <v>254</v>
      </c>
      <c r="N89" s="1311">
        <v>0</v>
      </c>
      <c r="O89" s="1308">
        <v>41</v>
      </c>
      <c r="P89" s="1311">
        <v>40</v>
      </c>
      <c r="Q89" s="1308">
        <v>247</v>
      </c>
      <c r="R89" s="1315">
        <v>1</v>
      </c>
      <c r="S89" s="1304">
        <v>118</v>
      </c>
      <c r="T89" s="1305">
        <v>10</v>
      </c>
      <c r="U89" s="1305">
        <v>3.4</v>
      </c>
      <c r="V89" s="1305">
        <v>0.6</v>
      </c>
      <c r="W89" s="1305">
        <v>2.7</v>
      </c>
      <c r="X89" s="1313">
        <v>24</v>
      </c>
      <c r="Y89" s="1359" t="s">
        <v>369</v>
      </c>
      <c r="Z89" s="1397"/>
      <c r="AA89" s="485" t="str">
        <f t="shared" si="11"/>
        <v/>
      </c>
      <c r="AB89" s="482"/>
      <c r="AC89" s="482"/>
      <c r="AD89" s="482"/>
      <c r="AE89" s="482"/>
      <c r="AF89" s="482"/>
      <c r="AG89" s="482"/>
    </row>
    <row r="90" spans="1:33" s="450" customFormat="1" ht="17.25" customHeight="1" x14ac:dyDescent="0.2">
      <c r="A90" s="483"/>
      <c r="B90" s="1303" t="s">
        <v>266</v>
      </c>
      <c r="C90" s="1314">
        <v>410</v>
      </c>
      <c r="D90" s="1305">
        <v>6.4</v>
      </c>
      <c r="E90" s="1305">
        <v>10.5</v>
      </c>
      <c r="F90" s="1306">
        <v>172</v>
      </c>
      <c r="G90" s="1307">
        <v>0.15</v>
      </c>
      <c r="H90" s="1308">
        <v>140</v>
      </c>
      <c r="I90" s="1309" t="str">
        <f t="shared" si="13"/>
        <v>+5</v>
      </c>
      <c r="J90" s="1310">
        <f t="shared" si="14"/>
        <v>2.6</v>
      </c>
      <c r="K90" s="1308">
        <v>258</v>
      </c>
      <c r="L90" s="1308">
        <v>407</v>
      </c>
      <c r="M90" s="1308">
        <f t="shared" si="12"/>
        <v>274</v>
      </c>
      <c r="N90" s="1311">
        <v>0</v>
      </c>
      <c r="O90" s="1308">
        <v>65</v>
      </c>
      <c r="P90" s="1311">
        <v>40</v>
      </c>
      <c r="Q90" s="1308">
        <v>210</v>
      </c>
      <c r="R90" s="1315">
        <v>0.8</v>
      </c>
      <c r="S90" s="1304">
        <v>107</v>
      </c>
      <c r="T90" s="1305">
        <v>9.4</v>
      </c>
      <c r="U90" s="1305">
        <v>3.8</v>
      </c>
      <c r="V90" s="1305">
        <v>1.2</v>
      </c>
      <c r="W90" s="1305">
        <v>2.9</v>
      </c>
      <c r="X90" s="1313">
        <v>26</v>
      </c>
      <c r="Y90" s="1359" t="s">
        <v>369</v>
      </c>
      <c r="Z90" s="1397"/>
      <c r="AA90" s="485" t="str">
        <f t="shared" si="11"/>
        <v/>
      </c>
      <c r="AB90" s="482"/>
      <c r="AC90" s="482"/>
      <c r="AD90" s="482"/>
      <c r="AE90" s="482"/>
      <c r="AF90" s="482"/>
      <c r="AG90" s="482"/>
    </row>
    <row r="91" spans="1:33" s="450" customFormat="1" ht="17.25" customHeight="1" x14ac:dyDescent="0.2">
      <c r="A91" s="483"/>
      <c r="B91" s="1303" t="s">
        <v>267</v>
      </c>
      <c r="C91" s="1314">
        <v>390</v>
      </c>
      <c r="D91" s="1305">
        <v>6</v>
      </c>
      <c r="E91" s="1305">
        <v>10</v>
      </c>
      <c r="F91" s="1306">
        <v>159</v>
      </c>
      <c r="G91" s="1307">
        <v>0.15</v>
      </c>
      <c r="H91" s="1308">
        <v>133</v>
      </c>
      <c r="I91" s="1309" t="str">
        <f t="shared" si="13"/>
        <v>+4</v>
      </c>
      <c r="J91" s="1310">
        <f t="shared" si="14"/>
        <v>2.7</v>
      </c>
      <c r="K91" s="1308">
        <v>276</v>
      </c>
      <c r="L91" s="1308">
        <v>423</v>
      </c>
      <c r="M91" s="1308">
        <f t="shared" si="12"/>
        <v>266</v>
      </c>
      <c r="N91" s="1311">
        <v>0</v>
      </c>
      <c r="O91" s="1308">
        <v>45</v>
      </c>
      <c r="P91" s="1311">
        <v>40</v>
      </c>
      <c r="Q91" s="1308">
        <v>222</v>
      </c>
      <c r="R91" s="1315">
        <v>0.8</v>
      </c>
      <c r="S91" s="1304">
        <v>112</v>
      </c>
      <c r="T91" s="1305">
        <v>10.199999999999999</v>
      </c>
      <c r="U91" s="1305">
        <v>3.7</v>
      </c>
      <c r="V91" s="1305">
        <v>0.9</v>
      </c>
      <c r="W91" s="1305">
        <v>3</v>
      </c>
      <c r="X91" s="1313">
        <v>25</v>
      </c>
      <c r="Y91" s="1359" t="s">
        <v>369</v>
      </c>
      <c r="Z91" s="1397"/>
      <c r="AA91" s="485" t="str">
        <f t="shared" si="11"/>
        <v/>
      </c>
      <c r="AB91" s="482"/>
      <c r="AC91" s="482"/>
      <c r="AD91" s="482"/>
      <c r="AE91" s="482"/>
      <c r="AF91" s="482"/>
      <c r="AG91" s="482"/>
    </row>
    <row r="92" spans="1:33" s="450" customFormat="1" ht="17.25" customHeight="1" x14ac:dyDescent="0.2">
      <c r="A92" s="483"/>
      <c r="B92" s="1303" t="s">
        <v>268</v>
      </c>
      <c r="C92" s="1314">
        <v>360</v>
      </c>
      <c r="D92" s="1305">
        <v>5.5</v>
      </c>
      <c r="E92" s="1305">
        <v>9.3000000000000007</v>
      </c>
      <c r="F92" s="1306">
        <v>148</v>
      </c>
      <c r="G92" s="1307">
        <v>0.15</v>
      </c>
      <c r="H92" s="1308">
        <v>125</v>
      </c>
      <c r="I92" s="1309" t="str">
        <f t="shared" si="13"/>
        <v>+4</v>
      </c>
      <c r="J92" s="1310">
        <f t="shared" si="14"/>
        <v>2.8</v>
      </c>
      <c r="K92" s="1308">
        <v>298</v>
      </c>
      <c r="L92" s="1308">
        <v>435</v>
      </c>
      <c r="M92" s="1308">
        <f t="shared" si="12"/>
        <v>247</v>
      </c>
      <c r="N92" s="1311">
        <v>0</v>
      </c>
      <c r="O92" s="1308">
        <v>30</v>
      </c>
      <c r="P92" s="1311">
        <v>40</v>
      </c>
      <c r="Q92" s="1308">
        <v>232</v>
      </c>
      <c r="R92" s="1315">
        <v>0.8</v>
      </c>
      <c r="S92" s="1304">
        <v>130</v>
      </c>
      <c r="T92" s="1305">
        <v>10.9</v>
      </c>
      <c r="U92" s="1305">
        <v>3.6</v>
      </c>
      <c r="V92" s="1305">
        <v>0.7</v>
      </c>
      <c r="W92" s="1305">
        <v>3</v>
      </c>
      <c r="X92" s="1313">
        <v>25</v>
      </c>
      <c r="Y92" s="1359" t="s">
        <v>369</v>
      </c>
      <c r="Z92" s="1397"/>
      <c r="AA92" s="485" t="str">
        <f t="shared" si="11"/>
        <v/>
      </c>
      <c r="AB92" s="482"/>
      <c r="AC92" s="482"/>
      <c r="AD92" s="482"/>
      <c r="AE92" s="482"/>
      <c r="AF92" s="482"/>
      <c r="AG92" s="482"/>
    </row>
    <row r="93" spans="1:33" s="450" customFormat="1" ht="17.25" customHeight="1" x14ac:dyDescent="0.2">
      <c r="A93" s="483"/>
      <c r="B93" s="1303" t="s">
        <v>269</v>
      </c>
      <c r="C93" s="1314">
        <v>350</v>
      </c>
      <c r="D93" s="1305">
        <v>6.6</v>
      </c>
      <c r="E93" s="1305">
        <v>10.8</v>
      </c>
      <c r="F93" s="1306">
        <v>187</v>
      </c>
      <c r="G93" s="1307">
        <v>0.15</v>
      </c>
      <c r="H93" s="1308">
        <v>143</v>
      </c>
      <c r="I93" s="1309" t="str">
        <f>IF((F93-H93)/6.25&lt;0,ROUND((F93-H93)/6.25,0),"+"&amp;ROUND(((F93-H93)/6.25),0))</f>
        <v>+7</v>
      </c>
      <c r="J93" s="1310">
        <f t="shared" si="14"/>
        <v>2.2999999999999998</v>
      </c>
      <c r="K93" s="1308">
        <v>233</v>
      </c>
      <c r="L93" s="1308">
        <v>365</v>
      </c>
      <c r="M93" s="1308">
        <f>IF(AND(S93&lt;&gt;"",F93&lt;&gt;"",L93&lt;&gt;"",P93&lt;&gt;""),1000-F93-L93-P93-S93,"Fehler")</f>
        <v>290</v>
      </c>
      <c r="N93" s="1311">
        <v>0</v>
      </c>
      <c r="O93" s="1308">
        <v>52</v>
      </c>
      <c r="P93" s="1311">
        <v>40</v>
      </c>
      <c r="Q93" s="1308">
        <v>191</v>
      </c>
      <c r="R93" s="1315">
        <v>0.8</v>
      </c>
      <c r="S93" s="1304">
        <v>118</v>
      </c>
      <c r="T93" s="1305">
        <v>8.4</v>
      </c>
      <c r="U93" s="1305">
        <v>4.3</v>
      </c>
      <c r="V93" s="1305">
        <v>1.6</v>
      </c>
      <c r="W93" s="1305">
        <v>2.9</v>
      </c>
      <c r="X93" s="1313">
        <v>28</v>
      </c>
      <c r="Y93" s="1359" t="s">
        <v>369</v>
      </c>
      <c r="Z93" s="1397"/>
      <c r="AA93" s="485" t="str">
        <f>IF(COUNTA(B93:Y93)&lt;21,"x","")</f>
        <v/>
      </c>
      <c r="AB93" s="482"/>
      <c r="AC93" s="482"/>
      <c r="AD93" s="482"/>
      <c r="AE93" s="482"/>
      <c r="AF93" s="482"/>
      <c r="AG93" s="482"/>
    </row>
    <row r="94" spans="1:33" s="450" customFormat="1" ht="17.25" customHeight="1" x14ac:dyDescent="0.2">
      <c r="A94" s="483"/>
      <c r="B94" s="1303" t="s">
        <v>270</v>
      </c>
      <c r="C94" s="1314">
        <v>350</v>
      </c>
      <c r="D94" s="1305">
        <v>6.2</v>
      </c>
      <c r="E94" s="1305">
        <v>10.199999999999999</v>
      </c>
      <c r="F94" s="1306">
        <v>175</v>
      </c>
      <c r="G94" s="1307">
        <v>0.15</v>
      </c>
      <c r="H94" s="1308">
        <v>136</v>
      </c>
      <c r="I94" s="1309" t="str">
        <f>IF((F94-H94)/6.25&lt;0,ROUND((F94-H94)/6.25,0),"+"&amp;ROUND(((F94-H94)/6.25),0))</f>
        <v>+6</v>
      </c>
      <c r="J94" s="1310">
        <f t="shared" si="14"/>
        <v>2.5</v>
      </c>
      <c r="K94" s="1308">
        <v>258</v>
      </c>
      <c r="L94" s="1308">
        <v>397</v>
      </c>
      <c r="M94" s="1308">
        <f>IF(AND(S94&lt;&gt;"",F94&lt;&gt;"",L94&lt;&gt;"",P94&lt;&gt;""),1000-F94-L94-P94-S94,"Fehler")</f>
        <v>261</v>
      </c>
      <c r="N94" s="1311">
        <v>0</v>
      </c>
      <c r="O94" s="1308">
        <v>43</v>
      </c>
      <c r="P94" s="1311">
        <v>40</v>
      </c>
      <c r="Q94" s="1308">
        <v>207</v>
      </c>
      <c r="R94" s="1315">
        <v>0.8</v>
      </c>
      <c r="S94" s="1304">
        <v>127</v>
      </c>
      <c r="T94" s="1305">
        <v>8.8000000000000007</v>
      </c>
      <c r="U94" s="1305">
        <v>4</v>
      </c>
      <c r="V94" s="1305">
        <v>1.2</v>
      </c>
      <c r="W94" s="1305">
        <v>3</v>
      </c>
      <c r="X94" s="1313">
        <v>27</v>
      </c>
      <c r="Y94" s="1359" t="s">
        <v>369</v>
      </c>
      <c r="Z94" s="1397"/>
      <c r="AA94" s="485" t="str">
        <f>IF(COUNTA(B94:Y94)&lt;21,"x","")</f>
        <v/>
      </c>
      <c r="AB94" s="482"/>
      <c r="AC94" s="482"/>
      <c r="AD94" s="482"/>
      <c r="AE94" s="482"/>
      <c r="AF94" s="482"/>
      <c r="AG94" s="482"/>
    </row>
    <row r="95" spans="1:33" s="450" customFormat="1" ht="17.25" customHeight="1" x14ac:dyDescent="0.2">
      <c r="A95" s="483"/>
      <c r="B95" s="1303" t="s">
        <v>271</v>
      </c>
      <c r="C95" s="1314">
        <v>350</v>
      </c>
      <c r="D95" s="1305">
        <v>5.7</v>
      </c>
      <c r="E95" s="1305">
        <v>9.5</v>
      </c>
      <c r="F95" s="1306">
        <v>164</v>
      </c>
      <c r="G95" s="1307">
        <v>0.15</v>
      </c>
      <c r="H95" s="1308">
        <v>127</v>
      </c>
      <c r="I95" s="1309" t="str">
        <f>IF((F95-H95)/6.25&lt;0,ROUND((F95-H95)/6.25,0),"+"&amp;ROUND(((F95-H95)/6.25),0))</f>
        <v>+6</v>
      </c>
      <c r="J95" s="1310">
        <f t="shared" si="14"/>
        <v>2.7</v>
      </c>
      <c r="K95" s="1308">
        <v>279</v>
      </c>
      <c r="L95" s="1308">
        <v>419</v>
      </c>
      <c r="M95" s="1308">
        <f>IF(AND(S95&lt;&gt;"",F95&lt;&gt;"",L95&lt;&gt;"",P95&lt;&gt;""),1000-F95-L95-P95-S95,"Fehler")</f>
        <v>226</v>
      </c>
      <c r="N95" s="1311">
        <v>0</v>
      </c>
      <c r="O95" s="1308">
        <v>27</v>
      </c>
      <c r="P95" s="1311">
        <v>40</v>
      </c>
      <c r="Q95" s="1308">
        <v>218</v>
      </c>
      <c r="R95" s="1315">
        <v>0.8</v>
      </c>
      <c r="S95" s="1304">
        <v>151</v>
      </c>
      <c r="T95" s="1305">
        <v>8.9</v>
      </c>
      <c r="U95" s="1305">
        <v>3.8</v>
      </c>
      <c r="V95" s="1305">
        <v>0.8</v>
      </c>
      <c r="W95" s="1305">
        <v>2.9</v>
      </c>
      <c r="X95" s="1313">
        <v>28</v>
      </c>
      <c r="Y95" s="1359" t="s">
        <v>369</v>
      </c>
      <c r="Z95" s="1397"/>
      <c r="AA95" s="485" t="str">
        <f>IF(COUNTA(B95:Y95)&lt;21,"x","")</f>
        <v/>
      </c>
      <c r="AB95" s="482"/>
      <c r="AC95" s="482"/>
      <c r="AD95" s="482"/>
      <c r="AE95" s="482"/>
      <c r="AF95" s="482"/>
      <c r="AG95" s="482"/>
    </row>
    <row r="96" spans="1:33" s="450" customFormat="1" ht="17.25" customHeight="1" x14ac:dyDescent="0.2">
      <c r="A96" s="483"/>
      <c r="B96" s="1303" t="s">
        <v>120</v>
      </c>
      <c r="C96" s="1304">
        <v>180</v>
      </c>
      <c r="D96" s="1305">
        <v>7.08</v>
      </c>
      <c r="E96" s="1305">
        <v>11.46</v>
      </c>
      <c r="F96" s="1306">
        <v>49</v>
      </c>
      <c r="G96" s="1307">
        <v>0.25</v>
      </c>
      <c r="H96" s="1308">
        <f t="shared" ref="H96:H105" si="15">ROUND((11.93-(6.82*G96))*E96+1.03*G96*F96,0)</f>
        <v>130</v>
      </c>
      <c r="I96" s="1309">
        <f t="shared" ref="I96:I105" si="16">IF((F96-H96)/6.25&lt;0,ROUND((F96-H96)/6.25,0),"+"&amp;ROUND(((F96-H96)/6.25),0))</f>
        <v>-13</v>
      </c>
      <c r="J96" s="1310">
        <v>0.7</v>
      </c>
      <c r="K96" s="1308">
        <v>315</v>
      </c>
      <c r="L96" s="1308">
        <v>365</v>
      </c>
      <c r="M96" s="1308">
        <f t="shared" si="12"/>
        <v>546</v>
      </c>
      <c r="N96" s="1308">
        <v>380</v>
      </c>
      <c r="O96" s="1311">
        <v>15</v>
      </c>
      <c r="P96" s="1311">
        <v>5</v>
      </c>
      <c r="Q96" s="1312">
        <v>208</v>
      </c>
      <c r="R96" s="1315">
        <v>0</v>
      </c>
      <c r="S96" s="1304">
        <v>35</v>
      </c>
      <c r="T96" s="1305">
        <v>0.7</v>
      </c>
      <c r="U96" s="1305">
        <v>2.7</v>
      </c>
      <c r="V96" s="1305">
        <v>0.1</v>
      </c>
      <c r="W96" s="1305">
        <v>0.7</v>
      </c>
      <c r="X96" s="1313">
        <v>22</v>
      </c>
      <c r="Y96" s="1359" t="s">
        <v>369</v>
      </c>
      <c r="Z96" s="1397"/>
      <c r="AA96" s="485" t="str">
        <f t="shared" si="11"/>
        <v/>
      </c>
      <c r="AB96" s="482">
        <f>+Q96</f>
        <v>208</v>
      </c>
      <c r="AC96" s="482">
        <f>IF(N96=0,0.0001,N96)</f>
        <v>380</v>
      </c>
      <c r="AD96" s="495">
        <v>0.1</v>
      </c>
      <c r="AE96" s="482">
        <f>+AC96*AD96</f>
        <v>38</v>
      </c>
      <c r="AF96" s="482">
        <f>+O96</f>
        <v>15</v>
      </c>
      <c r="AG96" s="496">
        <f>0.9-1.3*AD96</f>
        <v>0.77</v>
      </c>
    </row>
    <row r="97" spans="1:33" s="450" customFormat="1" ht="17.25" customHeight="1" x14ac:dyDescent="0.2">
      <c r="A97" s="483"/>
      <c r="B97" s="1303" t="s">
        <v>198</v>
      </c>
      <c r="C97" s="1304">
        <v>350</v>
      </c>
      <c r="D97" s="1305">
        <v>6.3</v>
      </c>
      <c r="E97" s="1305">
        <v>10.48</v>
      </c>
      <c r="F97" s="1306">
        <v>195</v>
      </c>
      <c r="G97" s="1307">
        <v>0.15</v>
      </c>
      <c r="H97" s="1308">
        <f t="shared" si="15"/>
        <v>144</v>
      </c>
      <c r="I97" s="1309" t="str">
        <f t="shared" si="16"/>
        <v>+8</v>
      </c>
      <c r="J97" s="1310">
        <f>ROUND(+Q97*0.0125-0.6,1)</f>
        <v>2.2000000000000002</v>
      </c>
      <c r="K97" s="1308">
        <f>Q97*1.05</f>
        <v>236.25</v>
      </c>
      <c r="L97" s="1308">
        <f>Q97*2.3</f>
        <v>517.5</v>
      </c>
      <c r="M97" s="1308">
        <f t="shared" si="12"/>
        <v>147.5</v>
      </c>
      <c r="N97" s="1317">
        <v>0</v>
      </c>
      <c r="O97" s="1317">
        <v>25</v>
      </c>
      <c r="P97" s="1317">
        <v>40</v>
      </c>
      <c r="Q97" s="1312">
        <v>225</v>
      </c>
      <c r="R97" s="1315">
        <v>0.8</v>
      </c>
      <c r="S97" s="1304">
        <v>100</v>
      </c>
      <c r="T97" s="1305">
        <v>8</v>
      </c>
      <c r="U97" s="1305">
        <v>3.8</v>
      </c>
      <c r="V97" s="1305">
        <v>0.5</v>
      </c>
      <c r="W97" s="1305">
        <v>2.4</v>
      </c>
      <c r="X97" s="1313">
        <v>33</v>
      </c>
      <c r="Y97" s="1359" t="s">
        <v>369</v>
      </c>
      <c r="Z97" s="1397"/>
      <c r="AA97" s="485" t="str">
        <f t="shared" si="11"/>
        <v/>
      </c>
      <c r="AB97" s="482"/>
      <c r="AC97" s="482"/>
      <c r="AD97" s="482"/>
      <c r="AE97" s="482"/>
      <c r="AF97" s="482"/>
      <c r="AG97" s="482"/>
    </row>
    <row r="98" spans="1:33" s="450" customFormat="1" ht="17.25" customHeight="1" x14ac:dyDescent="0.2">
      <c r="A98" s="483"/>
      <c r="B98" s="1303" t="s">
        <v>199</v>
      </c>
      <c r="C98" s="1304">
        <v>350</v>
      </c>
      <c r="D98" s="1305">
        <v>5.9</v>
      </c>
      <c r="E98" s="1305">
        <v>9.94</v>
      </c>
      <c r="F98" s="1306">
        <v>175</v>
      </c>
      <c r="G98" s="1307">
        <v>0.15</v>
      </c>
      <c r="H98" s="1308">
        <f t="shared" si="15"/>
        <v>135</v>
      </c>
      <c r="I98" s="1309" t="str">
        <f t="shared" si="16"/>
        <v>+6</v>
      </c>
      <c r="J98" s="1310">
        <f>ROUND(+Q98*0.0125-0.6,1)</f>
        <v>2.7</v>
      </c>
      <c r="K98" s="1308">
        <f>Q98*1.05</f>
        <v>273</v>
      </c>
      <c r="L98" s="1308">
        <f>Q98*2.3</f>
        <v>598</v>
      </c>
      <c r="M98" s="1308">
        <f t="shared" si="12"/>
        <v>97</v>
      </c>
      <c r="N98" s="1317">
        <v>0</v>
      </c>
      <c r="O98" s="1317">
        <v>20</v>
      </c>
      <c r="P98" s="1317">
        <v>40</v>
      </c>
      <c r="Q98" s="1312">
        <v>260</v>
      </c>
      <c r="R98" s="1315">
        <v>1</v>
      </c>
      <c r="S98" s="1304">
        <v>90</v>
      </c>
      <c r="T98" s="1305">
        <v>7.9</v>
      </c>
      <c r="U98" s="1305">
        <v>3.7</v>
      </c>
      <c r="V98" s="1305">
        <v>0.6</v>
      </c>
      <c r="W98" s="1305">
        <v>2.2999999999999998</v>
      </c>
      <c r="X98" s="1313">
        <v>33</v>
      </c>
      <c r="Y98" s="1359" t="s">
        <v>369</v>
      </c>
      <c r="Z98" s="1397"/>
      <c r="AA98" s="485" t="str">
        <f t="shared" si="11"/>
        <v/>
      </c>
      <c r="AB98" s="482"/>
      <c r="AC98" s="482"/>
      <c r="AD98" s="482"/>
      <c r="AE98" s="482"/>
      <c r="AF98" s="482"/>
      <c r="AG98" s="482"/>
    </row>
    <row r="99" spans="1:33" s="450" customFormat="1" ht="17.25" customHeight="1" x14ac:dyDescent="0.2">
      <c r="A99" s="483"/>
      <c r="B99" s="1303" t="s">
        <v>200</v>
      </c>
      <c r="C99" s="1304">
        <v>350</v>
      </c>
      <c r="D99" s="1305">
        <v>5.59</v>
      </c>
      <c r="E99" s="1305">
        <v>9.51</v>
      </c>
      <c r="F99" s="1306">
        <v>154</v>
      </c>
      <c r="G99" s="1307">
        <v>0.2</v>
      </c>
      <c r="H99" s="1308">
        <f t="shared" si="15"/>
        <v>132</v>
      </c>
      <c r="I99" s="1309" t="str">
        <f t="shared" si="16"/>
        <v>+4</v>
      </c>
      <c r="J99" s="1310">
        <f>ROUND(+Q99*0.0125-0.6,1)</f>
        <v>3.2</v>
      </c>
      <c r="K99" s="1308">
        <f>Q99*1.05</f>
        <v>315</v>
      </c>
      <c r="L99" s="1308">
        <f>Q99*2.3</f>
        <v>690</v>
      </c>
      <c r="M99" s="1308">
        <f t="shared" si="12"/>
        <v>16</v>
      </c>
      <c r="N99" s="1316">
        <v>0</v>
      </c>
      <c r="O99" s="1317">
        <v>10</v>
      </c>
      <c r="P99" s="1317">
        <v>40</v>
      </c>
      <c r="Q99" s="1312">
        <v>300</v>
      </c>
      <c r="R99" s="1315">
        <v>1</v>
      </c>
      <c r="S99" s="1304">
        <v>100</v>
      </c>
      <c r="T99" s="1305">
        <v>8</v>
      </c>
      <c r="U99" s="1305">
        <v>3.7</v>
      </c>
      <c r="V99" s="1305">
        <v>0.6</v>
      </c>
      <c r="W99" s="1305">
        <v>2.2000000000000002</v>
      </c>
      <c r="X99" s="1313">
        <v>30</v>
      </c>
      <c r="Y99" s="1359" t="s">
        <v>369</v>
      </c>
      <c r="Z99" s="1397"/>
      <c r="AA99" s="485" t="str">
        <f t="shared" si="11"/>
        <v/>
      </c>
      <c r="AB99" s="482"/>
      <c r="AC99" s="482"/>
      <c r="AD99" s="482"/>
      <c r="AE99" s="482"/>
      <c r="AF99" s="482"/>
      <c r="AG99" s="482"/>
    </row>
    <row r="100" spans="1:33" s="450" customFormat="1" ht="17.25" customHeight="1" x14ac:dyDescent="0.2">
      <c r="A100" s="483"/>
      <c r="B100" s="1303" t="s">
        <v>201</v>
      </c>
      <c r="C100" s="1304">
        <v>350</v>
      </c>
      <c r="D100" s="1305">
        <v>5.98</v>
      </c>
      <c r="E100" s="1305">
        <v>10</v>
      </c>
      <c r="F100" s="1306">
        <v>190</v>
      </c>
      <c r="G100" s="1307">
        <v>0.15</v>
      </c>
      <c r="H100" s="1308">
        <f t="shared" si="15"/>
        <v>138</v>
      </c>
      <c r="I100" s="1309" t="str">
        <f t="shared" si="16"/>
        <v>+8</v>
      </c>
      <c r="J100" s="1310">
        <f>ROUND(+Q100*0.0125-0.6,1)</f>
        <v>2</v>
      </c>
      <c r="K100" s="1308">
        <f>Q100*1.05</f>
        <v>220.5</v>
      </c>
      <c r="L100" s="1308">
        <f>Q100*2.3</f>
        <v>482.99999999999994</v>
      </c>
      <c r="M100" s="1308">
        <f t="shared" si="12"/>
        <v>182.00000000000006</v>
      </c>
      <c r="N100" s="1316">
        <v>0</v>
      </c>
      <c r="O100" s="1317">
        <v>20</v>
      </c>
      <c r="P100" s="1317">
        <v>40</v>
      </c>
      <c r="Q100" s="1312">
        <v>210</v>
      </c>
      <c r="R100" s="1315">
        <v>0.8</v>
      </c>
      <c r="S100" s="1304">
        <v>105</v>
      </c>
      <c r="T100" s="1305">
        <v>7</v>
      </c>
      <c r="U100" s="1305">
        <v>4.3</v>
      </c>
      <c r="V100" s="1305">
        <v>0.8</v>
      </c>
      <c r="W100" s="1305">
        <v>2.8</v>
      </c>
      <c r="X100" s="1313">
        <v>30</v>
      </c>
      <c r="Y100" s="1359" t="s">
        <v>369</v>
      </c>
      <c r="Z100" s="1397"/>
      <c r="AA100" s="485" t="str">
        <f t="shared" si="11"/>
        <v/>
      </c>
      <c r="AB100" s="482"/>
      <c r="AC100" s="482"/>
      <c r="AD100" s="482"/>
      <c r="AE100" s="482"/>
      <c r="AF100" s="482"/>
      <c r="AG100" s="482"/>
    </row>
    <row r="101" spans="1:33" s="450" customFormat="1" ht="17.25" customHeight="1" x14ac:dyDescent="0.2">
      <c r="A101" s="483"/>
      <c r="B101" s="1303" t="s">
        <v>83</v>
      </c>
      <c r="C101" s="1304">
        <v>350</v>
      </c>
      <c r="D101" s="1305">
        <v>5.68</v>
      </c>
      <c r="E101" s="1305">
        <v>9.61</v>
      </c>
      <c r="F101" s="1306">
        <v>180</v>
      </c>
      <c r="G101" s="1307">
        <v>0.15</v>
      </c>
      <c r="H101" s="1308">
        <f t="shared" si="15"/>
        <v>133</v>
      </c>
      <c r="I101" s="1309" t="str">
        <f t="shared" si="16"/>
        <v>+8</v>
      </c>
      <c r="J101" s="1310">
        <f>ROUND(+Q101*0.0125-0.6,1)</f>
        <v>2.5</v>
      </c>
      <c r="K101" s="1308">
        <f>Q101*1.05</f>
        <v>257.25</v>
      </c>
      <c r="L101" s="1308">
        <f>Q101*2.3</f>
        <v>563.5</v>
      </c>
      <c r="M101" s="1308">
        <f t="shared" si="12"/>
        <v>106.5</v>
      </c>
      <c r="N101" s="1317">
        <v>0</v>
      </c>
      <c r="O101" s="1317">
        <v>20</v>
      </c>
      <c r="P101" s="1317">
        <v>35</v>
      </c>
      <c r="Q101" s="1312">
        <v>245</v>
      </c>
      <c r="R101" s="1315">
        <v>1</v>
      </c>
      <c r="S101" s="1304">
        <v>115</v>
      </c>
      <c r="T101" s="1305">
        <v>8</v>
      </c>
      <c r="U101" s="1305">
        <v>3.7</v>
      </c>
      <c r="V101" s="1305">
        <v>0.8</v>
      </c>
      <c r="W101" s="1305">
        <v>2.7</v>
      </c>
      <c r="X101" s="1313">
        <v>28</v>
      </c>
      <c r="Y101" s="1359" t="s">
        <v>369</v>
      </c>
      <c r="Z101" s="1397"/>
      <c r="AA101" s="485" t="str">
        <f t="shared" si="11"/>
        <v/>
      </c>
      <c r="AB101" s="482"/>
      <c r="AC101" s="482"/>
      <c r="AD101" s="482"/>
      <c r="AE101" s="482"/>
      <c r="AF101" s="482"/>
      <c r="AG101" s="482"/>
    </row>
    <row r="102" spans="1:33" s="450" customFormat="1" ht="17.25" customHeight="1" x14ac:dyDescent="0.2">
      <c r="A102" s="483"/>
      <c r="B102" s="1303" t="s">
        <v>123</v>
      </c>
      <c r="C102" s="1304">
        <v>480</v>
      </c>
      <c r="D102" s="1305">
        <v>7.47</v>
      </c>
      <c r="E102" s="1305">
        <v>12.09</v>
      </c>
      <c r="F102" s="1306">
        <v>95</v>
      </c>
      <c r="G102" s="1307">
        <v>0.35</v>
      </c>
      <c r="H102" s="1308">
        <f t="shared" si="15"/>
        <v>150</v>
      </c>
      <c r="I102" s="1309">
        <f t="shared" si="16"/>
        <v>-9</v>
      </c>
      <c r="J102" s="1310">
        <f>ROUND(0.321+0.00098*AB102+0.00025*AE102-(0.00112*(AF102+AG102*(AC102-AE102))),2)</f>
        <v>0.3</v>
      </c>
      <c r="K102" s="1308">
        <f>Q102*1.16</f>
        <v>162.39999999999998</v>
      </c>
      <c r="L102" s="1308">
        <f>Q102*3</f>
        <v>420</v>
      </c>
      <c r="M102" s="1308">
        <f t="shared" si="12"/>
        <v>425</v>
      </c>
      <c r="N102" s="1316">
        <v>445</v>
      </c>
      <c r="O102" s="1317">
        <v>10</v>
      </c>
      <c r="P102" s="1317">
        <v>35</v>
      </c>
      <c r="Q102" s="1312">
        <v>140</v>
      </c>
      <c r="R102" s="1315">
        <v>0.25</v>
      </c>
      <c r="S102" s="1304">
        <v>25</v>
      </c>
      <c r="T102" s="1305">
        <v>1</v>
      </c>
      <c r="U102" s="1305">
        <v>2.5</v>
      </c>
      <c r="V102" s="1305">
        <v>0.3</v>
      </c>
      <c r="W102" s="1305">
        <v>1.2</v>
      </c>
      <c r="X102" s="1313">
        <v>6</v>
      </c>
      <c r="Y102" s="1359" t="s">
        <v>369</v>
      </c>
      <c r="Z102" s="1397"/>
      <c r="AA102" s="485" t="str">
        <f t="shared" si="11"/>
        <v/>
      </c>
      <c r="AB102" s="482">
        <f>+Q102</f>
        <v>140</v>
      </c>
      <c r="AC102" s="482">
        <f>IF(N102=0,0.0001,N102)</f>
        <v>445</v>
      </c>
      <c r="AD102" s="495">
        <v>0.3</v>
      </c>
      <c r="AE102" s="482">
        <f>+AC102*AD102</f>
        <v>133.5</v>
      </c>
      <c r="AF102" s="482">
        <f>+O102</f>
        <v>10</v>
      </c>
      <c r="AG102" s="496">
        <f>0.9-1.3*AD102</f>
        <v>0.51</v>
      </c>
    </row>
    <row r="103" spans="1:33" s="450" customFormat="1" ht="17.25" customHeight="1" x14ac:dyDescent="0.2">
      <c r="A103" s="483"/>
      <c r="B103" s="1303" t="s">
        <v>115</v>
      </c>
      <c r="C103" s="1304">
        <v>350</v>
      </c>
      <c r="D103" s="1305">
        <v>5.45</v>
      </c>
      <c r="E103" s="1305">
        <v>9.27</v>
      </c>
      <c r="F103" s="1306">
        <v>190</v>
      </c>
      <c r="G103" s="1307">
        <v>0.15</v>
      </c>
      <c r="H103" s="1308">
        <f t="shared" si="15"/>
        <v>130</v>
      </c>
      <c r="I103" s="1309" t="str">
        <f t="shared" si="16"/>
        <v>+10</v>
      </c>
      <c r="J103" s="1310">
        <f>ROUND(+Q103*0.0125-0.6,1)</f>
        <v>2.4</v>
      </c>
      <c r="K103" s="1308">
        <f>Q103*1.15</f>
        <v>276</v>
      </c>
      <c r="L103" s="1308">
        <f>Q103*1.5</f>
        <v>360</v>
      </c>
      <c r="M103" s="1308">
        <f t="shared" si="12"/>
        <v>290</v>
      </c>
      <c r="N103" s="1317">
        <v>0</v>
      </c>
      <c r="O103" s="1317">
        <v>20</v>
      </c>
      <c r="P103" s="1317">
        <v>40</v>
      </c>
      <c r="Q103" s="1312">
        <v>240</v>
      </c>
      <c r="R103" s="1315">
        <v>0.8</v>
      </c>
      <c r="S103" s="1304">
        <v>120</v>
      </c>
      <c r="T103" s="1305">
        <v>12</v>
      </c>
      <c r="U103" s="1305">
        <v>3.7</v>
      </c>
      <c r="V103" s="1305">
        <v>0.5</v>
      </c>
      <c r="W103" s="1305">
        <v>2.6</v>
      </c>
      <c r="X103" s="1313">
        <v>32</v>
      </c>
      <c r="Y103" s="1359" t="s">
        <v>369</v>
      </c>
      <c r="Z103" s="1397"/>
      <c r="AA103" s="485" t="str">
        <f t="shared" si="11"/>
        <v/>
      </c>
      <c r="AB103" s="482"/>
      <c r="AC103" s="482"/>
      <c r="AD103" s="482"/>
      <c r="AE103" s="482"/>
      <c r="AF103" s="482"/>
      <c r="AG103" s="482"/>
    </row>
    <row r="104" spans="1:33" s="450" customFormat="1" ht="17.25" customHeight="1" x14ac:dyDescent="0.2">
      <c r="A104" s="483"/>
      <c r="B104" s="1303" t="s">
        <v>191</v>
      </c>
      <c r="C104" s="1304">
        <v>350</v>
      </c>
      <c r="D104" s="1305">
        <v>5.15</v>
      </c>
      <c r="E104" s="1305">
        <v>8.86</v>
      </c>
      <c r="F104" s="1306">
        <v>175</v>
      </c>
      <c r="G104" s="1307">
        <v>0.2</v>
      </c>
      <c r="H104" s="1308">
        <f t="shared" si="15"/>
        <v>130</v>
      </c>
      <c r="I104" s="1309" t="str">
        <f t="shared" si="16"/>
        <v>+7</v>
      </c>
      <c r="J104" s="1310">
        <f>ROUND(+Q104*0.0125-0.6,1)</f>
        <v>2.9</v>
      </c>
      <c r="K104" s="1308">
        <f>Q104*1.15</f>
        <v>322</v>
      </c>
      <c r="L104" s="1308">
        <f>Q104*1.5</f>
        <v>420</v>
      </c>
      <c r="M104" s="1308">
        <f t="shared" si="12"/>
        <v>240</v>
      </c>
      <c r="N104" s="1316">
        <v>0</v>
      </c>
      <c r="O104" s="1317">
        <v>15</v>
      </c>
      <c r="P104" s="1317">
        <v>40</v>
      </c>
      <c r="Q104" s="1312">
        <v>280</v>
      </c>
      <c r="R104" s="1315">
        <v>1</v>
      </c>
      <c r="S104" s="1304">
        <v>125</v>
      </c>
      <c r="T104" s="1305">
        <v>13</v>
      </c>
      <c r="U104" s="1305">
        <v>3.5</v>
      </c>
      <c r="V104" s="1305">
        <v>0.5</v>
      </c>
      <c r="W104" s="1305">
        <v>2.2000000000000002</v>
      </c>
      <c r="X104" s="1313">
        <v>29</v>
      </c>
      <c r="Y104" s="1359" t="s">
        <v>369</v>
      </c>
      <c r="Z104" s="1397"/>
      <c r="AA104" s="485" t="str">
        <f t="shared" si="11"/>
        <v/>
      </c>
      <c r="AB104" s="482"/>
      <c r="AC104" s="482"/>
      <c r="AD104" s="482"/>
      <c r="AE104" s="482"/>
      <c r="AF104" s="482"/>
      <c r="AG104" s="482"/>
    </row>
    <row r="105" spans="1:33" s="450" customFormat="1" ht="17.25" customHeight="1" x14ac:dyDescent="0.2">
      <c r="A105" s="483"/>
      <c r="B105" s="1303" t="s">
        <v>122</v>
      </c>
      <c r="C105" s="1304">
        <v>440</v>
      </c>
      <c r="D105" s="1305">
        <v>8.1</v>
      </c>
      <c r="E105" s="1305">
        <v>12.8</v>
      </c>
      <c r="F105" s="1306">
        <v>170</v>
      </c>
      <c r="G105" s="1307">
        <v>0.3</v>
      </c>
      <c r="H105" s="1308">
        <f t="shared" si="15"/>
        <v>179</v>
      </c>
      <c r="I105" s="1309">
        <f t="shared" si="16"/>
        <v>-1</v>
      </c>
      <c r="J105" s="1310">
        <f>ROUND(0.321+0.00098*AB105+0.00025*AE105-(0.00112*(AF105+AG105*(AC105-AE105))),2)</f>
        <v>0.17</v>
      </c>
      <c r="K105" s="1308">
        <v>110</v>
      </c>
      <c r="L105" s="1308">
        <v>240</v>
      </c>
      <c r="M105" s="1308">
        <f t="shared" si="12"/>
        <v>505</v>
      </c>
      <c r="N105" s="1317">
        <v>340</v>
      </c>
      <c r="O105" s="1317">
        <v>15</v>
      </c>
      <c r="P105" s="1317">
        <v>30</v>
      </c>
      <c r="Q105" s="1312">
        <v>85</v>
      </c>
      <c r="R105" s="1315">
        <v>0</v>
      </c>
      <c r="S105" s="1304">
        <v>55</v>
      </c>
      <c r="T105" s="1305">
        <v>1.5</v>
      </c>
      <c r="U105" s="1305">
        <v>9.5</v>
      </c>
      <c r="V105" s="1305">
        <v>2.8</v>
      </c>
      <c r="W105" s="1305">
        <v>4.8</v>
      </c>
      <c r="X105" s="1313">
        <v>14</v>
      </c>
      <c r="Y105" s="1359" t="s">
        <v>369</v>
      </c>
      <c r="Z105" s="1397"/>
      <c r="AA105" s="485" t="str">
        <f t="shared" si="11"/>
        <v/>
      </c>
      <c r="AB105" s="482">
        <f>+Q105</f>
        <v>85</v>
      </c>
      <c r="AC105" s="482">
        <f>IF(N105=0,0.0001,N105)</f>
        <v>340</v>
      </c>
      <c r="AD105" s="495">
        <v>0.15</v>
      </c>
      <c r="AE105" s="482">
        <f>+AC105*AD105</f>
        <v>51</v>
      </c>
      <c r="AF105" s="482">
        <f>+O105</f>
        <v>15</v>
      </c>
      <c r="AG105" s="496">
        <f>0.9-1.3*AD105</f>
        <v>0.70500000000000007</v>
      </c>
    </row>
    <row r="106" spans="1:33" s="450" customFormat="1" ht="17.25" customHeight="1" x14ac:dyDescent="0.2">
      <c r="A106" s="483"/>
      <c r="B106" s="1303" t="s">
        <v>177</v>
      </c>
      <c r="C106" s="1314">
        <v>350</v>
      </c>
      <c r="D106" s="1305">
        <f>ROUND(AVERAGE(6.79+0.24,6.94+0.23,6.92+0.34),1)</f>
        <v>7.2</v>
      </c>
      <c r="E106" s="1305">
        <f>ROUND(AVERAGE(11.2+0.31,11.41+0.31,11.37+0.46),1)</f>
        <v>11.7</v>
      </c>
      <c r="F106" s="1306">
        <v>76</v>
      </c>
      <c r="G106" s="1307">
        <v>0.25</v>
      </c>
      <c r="H106" s="1308">
        <f t="shared" ref="H106:H113" si="17">ROUND((11.93-(6.82*G106))*E106+1.03*G106*F106,0)</f>
        <v>139</v>
      </c>
      <c r="I106" s="1309">
        <f t="shared" ref="I106:I113" si="18">IF((F106-H106)/6.25&lt;0,ROUND((F106-H106)/6.25,0),"+"&amp;ROUND(((F106-H106)/6.25),0))</f>
        <v>-10</v>
      </c>
      <c r="J106" s="1310">
        <f>ROUND(+Q106*0.009-0.1,1)</f>
        <v>1.4</v>
      </c>
      <c r="K106" s="1308">
        <v>189</v>
      </c>
      <c r="L106" s="1308">
        <v>335</v>
      </c>
      <c r="M106" s="1308">
        <f t="shared" si="12"/>
        <v>518</v>
      </c>
      <c r="N106" s="1316">
        <v>359</v>
      </c>
      <c r="O106" s="1308">
        <v>10</v>
      </c>
      <c r="P106" s="1308">
        <v>35</v>
      </c>
      <c r="Q106" s="1308">
        <v>164</v>
      </c>
      <c r="R106" s="1315">
        <v>0.8</v>
      </c>
      <c r="S106" s="1304">
        <v>36</v>
      </c>
      <c r="T106" s="1305">
        <v>2</v>
      </c>
      <c r="U106" s="1305">
        <v>2.4</v>
      </c>
      <c r="V106" s="1305">
        <v>0.1</v>
      </c>
      <c r="W106" s="1305">
        <v>1.2</v>
      </c>
      <c r="X106" s="1313">
        <v>11</v>
      </c>
      <c r="Y106" s="1359" t="s">
        <v>369</v>
      </c>
      <c r="Z106" s="1397"/>
      <c r="AA106" s="485" t="str">
        <f t="shared" si="11"/>
        <v/>
      </c>
      <c r="AB106" s="482">
        <f>+Q106</f>
        <v>164</v>
      </c>
      <c r="AC106" s="482">
        <f>IF(N106=0,0.0001,N106)</f>
        <v>359</v>
      </c>
      <c r="AD106" s="495">
        <v>0.15</v>
      </c>
      <c r="AE106" s="482">
        <f>+AC106*AD106</f>
        <v>53.85</v>
      </c>
      <c r="AF106" s="482">
        <f>+O106</f>
        <v>10</v>
      </c>
      <c r="AG106" s="496">
        <f>0.9-1.3*AD106</f>
        <v>0.70500000000000007</v>
      </c>
    </row>
    <row r="107" spans="1:33" s="450" customFormat="1" ht="17.25" customHeight="1" x14ac:dyDescent="0.2">
      <c r="A107" s="483"/>
      <c r="B107" s="1303" t="s">
        <v>149</v>
      </c>
      <c r="C107" s="1314">
        <v>340</v>
      </c>
      <c r="D107" s="1305">
        <v>6.8</v>
      </c>
      <c r="E107" s="1305">
        <v>11.2</v>
      </c>
      <c r="F107" s="1306">
        <v>77</v>
      </c>
      <c r="G107" s="1307">
        <v>0.25</v>
      </c>
      <c r="H107" s="1308">
        <v>135</v>
      </c>
      <c r="I107" s="1309">
        <f t="shared" si="18"/>
        <v>-9</v>
      </c>
      <c r="J107" s="1310">
        <f>ROUND(+Q107*0.009-0.1,1)</f>
        <v>1.5</v>
      </c>
      <c r="K107" s="1308">
        <v>204</v>
      </c>
      <c r="L107" s="1308">
        <v>364</v>
      </c>
      <c r="M107" s="1308">
        <f t="shared" si="12"/>
        <v>491</v>
      </c>
      <c r="N107" s="1316">
        <v>335</v>
      </c>
      <c r="O107" s="1308">
        <v>10</v>
      </c>
      <c r="P107" s="1308">
        <v>32</v>
      </c>
      <c r="Q107" s="1308">
        <v>179</v>
      </c>
      <c r="R107" s="1315">
        <v>0.8</v>
      </c>
      <c r="S107" s="1304">
        <v>36</v>
      </c>
      <c r="T107" s="1305">
        <v>2.1</v>
      </c>
      <c r="U107" s="1305">
        <v>2.2000000000000002</v>
      </c>
      <c r="V107" s="1305">
        <v>0.1</v>
      </c>
      <c r="W107" s="1305">
        <v>1.2</v>
      </c>
      <c r="X107" s="1313">
        <v>10</v>
      </c>
      <c r="Y107" s="1359" t="s">
        <v>369</v>
      </c>
      <c r="Z107" s="1397"/>
      <c r="AA107" s="485" t="str">
        <f t="shared" si="11"/>
        <v/>
      </c>
      <c r="AB107" s="482">
        <f>+Q107</f>
        <v>179</v>
      </c>
      <c r="AC107" s="482">
        <f>IF(N107=0,0.0001,N107)</f>
        <v>335</v>
      </c>
      <c r="AD107" s="495">
        <v>0.15</v>
      </c>
      <c r="AE107" s="482">
        <f>+AC107*AD107</f>
        <v>50.25</v>
      </c>
      <c r="AF107" s="482">
        <f>+O107</f>
        <v>10</v>
      </c>
      <c r="AG107" s="496">
        <f>0.9-1.3*AD107</f>
        <v>0.70500000000000007</v>
      </c>
    </row>
    <row r="108" spans="1:33" s="450" customFormat="1" ht="17.25" customHeight="1" x14ac:dyDescent="0.2">
      <c r="A108" s="483"/>
      <c r="B108" s="1303" t="s">
        <v>150</v>
      </c>
      <c r="C108" s="1314">
        <v>320</v>
      </c>
      <c r="D108" s="1305">
        <v>6.5</v>
      </c>
      <c r="E108" s="1305">
        <v>10.8</v>
      </c>
      <c r="F108" s="1306">
        <v>78</v>
      </c>
      <c r="G108" s="1307">
        <v>0.25</v>
      </c>
      <c r="H108" s="1308">
        <v>130</v>
      </c>
      <c r="I108" s="1309">
        <f t="shared" si="18"/>
        <v>-8</v>
      </c>
      <c r="J108" s="1310">
        <f>ROUND(+Q108*0.009-0.1,1)</f>
        <v>1.7</v>
      </c>
      <c r="K108" s="1308">
        <v>226</v>
      </c>
      <c r="L108" s="1308">
        <v>398</v>
      </c>
      <c r="M108" s="1308">
        <f t="shared" si="12"/>
        <v>458</v>
      </c>
      <c r="N108" s="1316">
        <v>289</v>
      </c>
      <c r="O108" s="1308">
        <v>10</v>
      </c>
      <c r="P108" s="1308">
        <v>29</v>
      </c>
      <c r="Q108" s="1308">
        <v>200</v>
      </c>
      <c r="R108" s="1315">
        <v>0.8</v>
      </c>
      <c r="S108" s="1304">
        <v>37</v>
      </c>
      <c r="T108" s="1305">
        <v>2.4</v>
      </c>
      <c r="U108" s="1305">
        <v>2.2000000000000002</v>
      </c>
      <c r="V108" s="1305">
        <v>0.1</v>
      </c>
      <c r="W108" s="1305">
        <v>1.2</v>
      </c>
      <c r="X108" s="1313">
        <v>11</v>
      </c>
      <c r="Y108" s="1359" t="s">
        <v>369</v>
      </c>
      <c r="Z108" s="1397"/>
      <c r="AA108" s="485" t="str">
        <f t="shared" si="11"/>
        <v/>
      </c>
      <c r="AB108" s="482">
        <f>+Q108</f>
        <v>200</v>
      </c>
      <c r="AC108" s="482">
        <f>IF(N108=0,0.0001,N108)</f>
        <v>289</v>
      </c>
      <c r="AD108" s="495">
        <v>0.15</v>
      </c>
      <c r="AE108" s="482">
        <f>+AC108*AD108</f>
        <v>43.35</v>
      </c>
      <c r="AF108" s="482">
        <f>+O108</f>
        <v>10</v>
      </c>
      <c r="AG108" s="496">
        <f>0.9-1.3*AD108</f>
        <v>0.70500000000000007</v>
      </c>
    </row>
    <row r="109" spans="1:33" s="450" customFormat="1" ht="16.5" customHeight="1" x14ac:dyDescent="0.2">
      <c r="A109" s="483"/>
      <c r="B109" s="1303" t="s">
        <v>228</v>
      </c>
      <c r="C109" s="1304">
        <v>320</v>
      </c>
      <c r="D109" s="1305">
        <v>7.2</v>
      </c>
      <c r="E109" s="1305">
        <f>D109/0.62</f>
        <v>11.612903225806452</v>
      </c>
      <c r="F109" s="1306">
        <v>85</v>
      </c>
      <c r="G109" s="1307">
        <v>0.3</v>
      </c>
      <c r="H109" s="1308">
        <f t="shared" si="17"/>
        <v>141</v>
      </c>
      <c r="I109" s="1309">
        <f t="shared" si="18"/>
        <v>-9</v>
      </c>
      <c r="J109" s="1310">
        <v>1.05</v>
      </c>
      <c r="K109" s="1308">
        <v>217</v>
      </c>
      <c r="L109" s="1308">
        <v>483</v>
      </c>
      <c r="M109" s="1308">
        <v>349</v>
      </c>
      <c r="N109" s="1311">
        <v>0</v>
      </c>
      <c r="O109" s="1311">
        <v>31</v>
      </c>
      <c r="P109" s="1311">
        <v>6</v>
      </c>
      <c r="Q109" s="1312">
        <v>233</v>
      </c>
      <c r="R109" s="1315">
        <v>0.25</v>
      </c>
      <c r="S109" s="1304">
        <v>77</v>
      </c>
      <c r="T109" s="1305">
        <v>9.9</v>
      </c>
      <c r="U109" s="1305">
        <v>1.3</v>
      </c>
      <c r="V109" s="1305">
        <v>0.3</v>
      </c>
      <c r="W109" s="1305">
        <v>2.1</v>
      </c>
      <c r="X109" s="1313">
        <v>4</v>
      </c>
      <c r="Y109" s="1359" t="s">
        <v>369</v>
      </c>
      <c r="Z109" s="1397"/>
      <c r="AA109" s="485" t="str">
        <f t="shared" si="11"/>
        <v/>
      </c>
      <c r="AB109" s="482">
        <f>+Q109</f>
        <v>233</v>
      </c>
      <c r="AC109" s="482">
        <f>IF(N109=0,0.0001,N109)</f>
        <v>1E-4</v>
      </c>
      <c r="AD109" s="495">
        <v>0.1</v>
      </c>
      <c r="AE109" s="482">
        <f>+AC109*AD109</f>
        <v>1.0000000000000001E-5</v>
      </c>
      <c r="AF109" s="482">
        <f>+O109</f>
        <v>31</v>
      </c>
      <c r="AG109" s="496">
        <f>0.9-1.3*AD109</f>
        <v>0.77</v>
      </c>
    </row>
    <row r="110" spans="1:33" s="450" customFormat="1" ht="16.5" customHeight="1" x14ac:dyDescent="0.2">
      <c r="A110" s="483"/>
      <c r="B110" s="1303" t="s">
        <v>202</v>
      </c>
      <c r="C110" s="1304">
        <v>150</v>
      </c>
      <c r="D110" s="1305">
        <v>6.69</v>
      </c>
      <c r="E110" s="1305">
        <v>10.83</v>
      </c>
      <c r="F110" s="1306">
        <v>195</v>
      </c>
      <c r="G110" s="1307">
        <v>0.15</v>
      </c>
      <c r="H110" s="1308">
        <f t="shared" si="17"/>
        <v>148</v>
      </c>
      <c r="I110" s="1309" t="str">
        <f t="shared" si="18"/>
        <v>+8</v>
      </c>
      <c r="J110" s="1310">
        <f>ROUND(+Q110*0.0125-0.2,1)</f>
        <v>1.6</v>
      </c>
      <c r="K110" s="1308">
        <f>Q110*1.2</f>
        <v>170.4</v>
      </c>
      <c r="L110" s="1308">
        <v>257</v>
      </c>
      <c r="M110" s="1308">
        <f t="shared" si="12"/>
        <v>328</v>
      </c>
      <c r="N110" s="1317">
        <v>0</v>
      </c>
      <c r="O110" s="1317">
        <v>5</v>
      </c>
      <c r="P110" s="1317">
        <v>50</v>
      </c>
      <c r="Q110" s="1312">
        <v>142</v>
      </c>
      <c r="R110" s="1315">
        <v>0.5</v>
      </c>
      <c r="S110" s="1304">
        <v>170</v>
      </c>
      <c r="T110" s="1305">
        <v>17</v>
      </c>
      <c r="U110" s="1305">
        <v>4.5</v>
      </c>
      <c r="V110" s="1305">
        <v>1.3</v>
      </c>
      <c r="W110" s="1305">
        <v>2.6</v>
      </c>
      <c r="X110" s="1313">
        <v>32</v>
      </c>
      <c r="Y110" s="1359" t="s">
        <v>369</v>
      </c>
      <c r="Z110" s="1397"/>
      <c r="AA110" s="485" t="str">
        <f t="shared" si="11"/>
        <v/>
      </c>
      <c r="AB110" s="482"/>
      <c r="AC110" s="482"/>
      <c r="AD110" s="482"/>
      <c r="AE110" s="482"/>
      <c r="AF110" s="482"/>
      <c r="AG110" s="482"/>
    </row>
    <row r="111" spans="1:33" s="450" customFormat="1" ht="16.5" customHeight="1" x14ac:dyDescent="0.2">
      <c r="A111" s="483"/>
      <c r="B111" s="1303" t="s">
        <v>117</v>
      </c>
      <c r="C111" s="1304">
        <v>250</v>
      </c>
      <c r="D111" s="1305">
        <v>6.42</v>
      </c>
      <c r="E111" s="1305">
        <v>10.62</v>
      </c>
      <c r="F111" s="1306">
        <v>150</v>
      </c>
      <c r="G111" s="1307">
        <v>0.15</v>
      </c>
      <c r="H111" s="1308">
        <f t="shared" si="17"/>
        <v>139</v>
      </c>
      <c r="I111" s="1309" t="str">
        <f t="shared" si="18"/>
        <v>+2</v>
      </c>
      <c r="J111" s="1310">
        <f>ROUND(+Q111*0.0125-0.2,1)</f>
        <v>3.1</v>
      </c>
      <c r="K111" s="1308">
        <f>1.2*Q111</f>
        <v>312</v>
      </c>
      <c r="L111" s="1308">
        <f>1.9*Q111</f>
        <v>494</v>
      </c>
      <c r="M111" s="1308">
        <f t="shared" si="12"/>
        <v>201</v>
      </c>
      <c r="N111" s="1317">
        <v>0</v>
      </c>
      <c r="O111" s="1317">
        <v>2</v>
      </c>
      <c r="P111" s="1317">
        <v>45</v>
      </c>
      <c r="Q111" s="1312">
        <v>260</v>
      </c>
      <c r="R111" s="1315">
        <v>0.6</v>
      </c>
      <c r="S111" s="1304">
        <v>110</v>
      </c>
      <c r="T111" s="1305">
        <v>4.5</v>
      </c>
      <c r="U111" s="1305">
        <v>4.2</v>
      </c>
      <c r="V111" s="1305">
        <v>0.4</v>
      </c>
      <c r="W111" s="1305">
        <v>1.6</v>
      </c>
      <c r="X111" s="1313">
        <v>30</v>
      </c>
      <c r="Y111" s="1359" t="s">
        <v>369</v>
      </c>
      <c r="Z111" s="1397"/>
      <c r="AA111" s="485" t="str">
        <f t="shared" si="11"/>
        <v/>
      </c>
      <c r="AB111" s="482"/>
      <c r="AC111" s="482"/>
      <c r="AD111" s="482"/>
      <c r="AE111" s="482"/>
      <c r="AF111" s="482"/>
      <c r="AG111" s="482"/>
    </row>
    <row r="112" spans="1:33" s="450" customFormat="1" ht="16.5" customHeight="1" x14ac:dyDescent="0.2">
      <c r="A112" s="483"/>
      <c r="B112" s="1303" t="s">
        <v>121</v>
      </c>
      <c r="C112" s="1304">
        <v>250</v>
      </c>
      <c r="D112" s="1305">
        <v>6.4</v>
      </c>
      <c r="E112" s="1305">
        <v>10.5</v>
      </c>
      <c r="F112" s="1306">
        <v>69</v>
      </c>
      <c r="G112" s="1307">
        <v>0.6</v>
      </c>
      <c r="H112" s="1308">
        <f t="shared" si="17"/>
        <v>125</v>
      </c>
      <c r="I112" s="1309">
        <f t="shared" si="18"/>
        <v>-9</v>
      </c>
      <c r="J112" s="1310">
        <f>ROUND(0.321+0.00098*AB112+0.00025*AE112-(0.00112*(AF112+AG112*(AC112-AE112))),2)</f>
        <v>0.4</v>
      </c>
      <c r="K112" s="1308">
        <v>375</v>
      </c>
      <c r="L112" s="1308">
        <v>470</v>
      </c>
      <c r="M112" s="1308">
        <f t="shared" si="12"/>
        <v>411</v>
      </c>
      <c r="N112" s="1317">
        <v>0</v>
      </c>
      <c r="O112" s="1317">
        <v>150</v>
      </c>
      <c r="P112" s="1317">
        <v>20</v>
      </c>
      <c r="Q112" s="1312">
        <v>248</v>
      </c>
      <c r="R112" s="1315">
        <v>0</v>
      </c>
      <c r="S112" s="1304">
        <v>30</v>
      </c>
      <c r="T112" s="1305">
        <v>1.8</v>
      </c>
      <c r="U112" s="1305">
        <v>1.5</v>
      </c>
      <c r="V112" s="1305">
        <v>0.9</v>
      </c>
      <c r="W112" s="1305">
        <v>0.7</v>
      </c>
      <c r="X112" s="1313">
        <f>6.1/0.92</f>
        <v>6.6304347826086953</v>
      </c>
      <c r="Y112" s="1359" t="s">
        <v>369</v>
      </c>
      <c r="Z112" s="1397"/>
      <c r="AA112" s="485" t="str">
        <f t="shared" si="11"/>
        <v/>
      </c>
      <c r="AB112" s="482">
        <f>+Q112</f>
        <v>248</v>
      </c>
      <c r="AC112" s="482">
        <f>IF(N112=0,0.0001,N112)</f>
        <v>1E-4</v>
      </c>
      <c r="AD112" s="495">
        <v>0.1</v>
      </c>
      <c r="AE112" s="482">
        <f>+AC112*AD112</f>
        <v>1.0000000000000001E-5</v>
      </c>
      <c r="AF112" s="482">
        <f>+O112</f>
        <v>150</v>
      </c>
      <c r="AG112" s="496">
        <f>0.9-1.3*AD112</f>
        <v>0.77</v>
      </c>
    </row>
    <row r="113" spans="1:35" s="450" customFormat="1" ht="16.5" customHeight="1" x14ac:dyDescent="0.2">
      <c r="A113" s="483"/>
      <c r="B113" s="1303" t="s">
        <v>88</v>
      </c>
      <c r="C113" s="1304">
        <v>180</v>
      </c>
      <c r="D113" s="1305">
        <v>5.98</v>
      </c>
      <c r="E113" s="1305">
        <v>9.83</v>
      </c>
      <c r="F113" s="1306">
        <v>150</v>
      </c>
      <c r="G113" s="1307">
        <v>0.15</v>
      </c>
      <c r="H113" s="1308">
        <f t="shared" si="17"/>
        <v>130</v>
      </c>
      <c r="I113" s="1309" t="str">
        <f t="shared" si="18"/>
        <v>+3</v>
      </c>
      <c r="J113" s="1310">
        <v>1.7</v>
      </c>
      <c r="K113" s="1308">
        <v>125</v>
      </c>
      <c r="L113" s="1308">
        <v>310</v>
      </c>
      <c r="M113" s="1308">
        <f t="shared" si="12"/>
        <v>340</v>
      </c>
      <c r="N113" s="1311">
        <v>0</v>
      </c>
      <c r="O113" s="1311">
        <v>16</v>
      </c>
      <c r="P113" s="1311">
        <v>30</v>
      </c>
      <c r="Q113" s="1308">
        <v>145</v>
      </c>
      <c r="R113" s="1315">
        <v>0.5</v>
      </c>
      <c r="S113" s="1304">
        <v>170</v>
      </c>
      <c r="T113" s="1305">
        <f>2.1/0.16</f>
        <v>13.125</v>
      </c>
      <c r="U113" s="1305">
        <f>0.4/0.16</f>
        <v>2.5</v>
      </c>
      <c r="V113" s="1305">
        <f>0.9/0.16</f>
        <v>5.625</v>
      </c>
      <c r="W113" s="1305">
        <f>0.5/0.16</f>
        <v>3.125</v>
      </c>
      <c r="X113" s="1313">
        <f>4.2/0.16</f>
        <v>26.25</v>
      </c>
      <c r="Y113" s="1359" t="s">
        <v>369</v>
      </c>
      <c r="Z113" s="1397"/>
      <c r="AA113" s="485" t="str">
        <f t="shared" si="11"/>
        <v/>
      </c>
      <c r="AB113" s="482"/>
      <c r="AC113" s="482"/>
      <c r="AD113" s="482"/>
      <c r="AE113" s="482"/>
      <c r="AF113" s="482"/>
      <c r="AG113" s="482"/>
    </row>
    <row r="114" spans="1:35" s="487" customFormat="1" ht="12" x14ac:dyDescent="0.2">
      <c r="A114" s="488"/>
      <c r="B114" s="1318"/>
      <c r="C114" s="1319"/>
      <c r="D114" s="1320"/>
      <c r="E114" s="1320"/>
      <c r="F114" s="1321"/>
      <c r="G114" s="1320"/>
      <c r="H114" s="1320"/>
      <c r="I114" s="1320"/>
      <c r="J114" s="1320"/>
      <c r="K114" s="1320"/>
      <c r="L114" s="1320"/>
      <c r="M114" s="1320"/>
      <c r="N114" s="1320"/>
      <c r="O114" s="1322"/>
      <c r="P114" s="1322"/>
      <c r="Q114" s="1320"/>
      <c r="R114" s="1320"/>
      <c r="S114" s="1319"/>
      <c r="T114" s="1320"/>
      <c r="U114" s="1323"/>
      <c r="V114" s="1323"/>
      <c r="W114" s="1323"/>
      <c r="X114" s="1324"/>
      <c r="Y114" s="1324"/>
      <c r="Z114" s="1376"/>
      <c r="AA114" s="485" t="str">
        <f t="shared" si="11"/>
        <v>x</v>
      </c>
      <c r="AB114" s="486"/>
      <c r="AC114" s="486"/>
      <c r="AD114" s="486"/>
      <c r="AE114" s="486"/>
      <c r="AF114" s="486"/>
      <c r="AG114" s="486"/>
      <c r="AI114" s="450"/>
    </row>
    <row r="115" spans="1:35" s="450" customFormat="1" ht="17.25" customHeight="1" x14ac:dyDescent="0.2">
      <c r="A115" s="472" t="s">
        <v>89</v>
      </c>
      <c r="B115" s="1325"/>
      <c r="C115" s="1326">
        <v>1E-4</v>
      </c>
      <c r="D115" s="1327">
        <v>1E-4</v>
      </c>
      <c r="E115" s="1327">
        <v>1E-4</v>
      </c>
      <c r="F115" s="1328">
        <v>1E-4</v>
      </c>
      <c r="G115" s="1327">
        <v>1E-4</v>
      </c>
      <c r="H115" s="1327">
        <v>1E-4</v>
      </c>
      <c r="I115" s="1327">
        <v>1E-4</v>
      </c>
      <c r="J115" s="1327">
        <v>1E-4</v>
      </c>
      <c r="K115" s="1327">
        <v>1E-4</v>
      </c>
      <c r="L115" s="1327">
        <v>1E-4</v>
      </c>
      <c r="M115" s="1327">
        <v>1E-4</v>
      </c>
      <c r="N115" s="1327">
        <v>1E-4</v>
      </c>
      <c r="O115" s="1327">
        <v>1E-4</v>
      </c>
      <c r="P115" s="1327">
        <v>1E-4</v>
      </c>
      <c r="Q115" s="1327">
        <v>1E-4</v>
      </c>
      <c r="R115" s="1327">
        <v>1E-4</v>
      </c>
      <c r="S115" s="1326">
        <v>1E-4</v>
      </c>
      <c r="T115" s="1327">
        <v>1E-4</v>
      </c>
      <c r="U115" s="1329">
        <v>1E-4</v>
      </c>
      <c r="V115" s="1329">
        <v>1E-4</v>
      </c>
      <c r="W115" s="1329">
        <v>1E-4</v>
      </c>
      <c r="X115" s="1330">
        <v>1E-4</v>
      </c>
      <c r="Y115" s="1330">
        <v>1E-4</v>
      </c>
      <c r="Z115" s="1377"/>
      <c r="AA115" s="453"/>
      <c r="AB115" s="479"/>
      <c r="AC115" s="479"/>
      <c r="AD115" s="479"/>
      <c r="AE115" s="479"/>
      <c r="AF115" s="479"/>
      <c r="AG115" s="479"/>
    </row>
    <row r="116" spans="1:35" s="450" customFormat="1" ht="17.25" customHeight="1" x14ac:dyDescent="0.2">
      <c r="A116" s="483"/>
      <c r="B116" s="1303" t="s">
        <v>90</v>
      </c>
      <c r="C116" s="1304">
        <v>860</v>
      </c>
      <c r="D116" s="1305">
        <v>3.8</v>
      </c>
      <c r="E116" s="1305">
        <v>6.9</v>
      </c>
      <c r="F116" s="1306">
        <v>32</v>
      </c>
      <c r="G116" s="1307">
        <v>0.45</v>
      </c>
      <c r="H116" s="1308">
        <v>75</v>
      </c>
      <c r="I116" s="1309">
        <f>IF((F116-H116)/6.25&lt;0,ROUND((F116-H116)/6.25,0),"+"&amp;ROUND(((F116-H116)/6.25),0))</f>
        <v>-7</v>
      </c>
      <c r="J116" s="1310">
        <v>4.3</v>
      </c>
      <c r="K116" s="1308">
        <v>522</v>
      </c>
      <c r="L116" s="1308">
        <v>790</v>
      </c>
      <c r="M116" s="1308">
        <v>110</v>
      </c>
      <c r="N116" s="1308">
        <v>0</v>
      </c>
      <c r="O116" s="1311">
        <v>7</v>
      </c>
      <c r="P116" s="1311">
        <v>14</v>
      </c>
      <c r="Q116" s="1308">
        <v>471</v>
      </c>
      <c r="R116" s="1315">
        <v>1.5</v>
      </c>
      <c r="S116" s="1304">
        <v>54</v>
      </c>
      <c r="T116" s="1305">
        <v>3.4</v>
      </c>
      <c r="U116" s="1305">
        <v>1.1000000000000001</v>
      </c>
      <c r="V116" s="1305">
        <v>0.3</v>
      </c>
      <c r="W116" s="1305">
        <v>0.8</v>
      </c>
      <c r="X116" s="1313">
        <v>14.1</v>
      </c>
      <c r="Y116" s="1359" t="s">
        <v>369</v>
      </c>
      <c r="Z116" s="1397"/>
      <c r="AA116" s="485" t="str">
        <f t="shared" ref="AA116:AA133" si="19">IF(COUNTA(B116:Y116)&lt;21,"x","")</f>
        <v/>
      </c>
      <c r="AB116" s="482"/>
      <c r="AC116" s="482"/>
      <c r="AD116" s="482"/>
      <c r="AE116" s="482"/>
      <c r="AF116" s="482"/>
      <c r="AG116" s="482"/>
    </row>
    <row r="117" spans="1:35" s="450" customFormat="1" ht="17.25" customHeight="1" x14ac:dyDescent="0.2">
      <c r="A117" s="483"/>
      <c r="B117" s="1303" t="s">
        <v>229</v>
      </c>
      <c r="C117" s="1304">
        <v>860</v>
      </c>
      <c r="D117" s="1305">
        <v>4.2</v>
      </c>
      <c r="E117" s="1305">
        <v>7.4</v>
      </c>
      <c r="F117" s="1306">
        <v>54</v>
      </c>
      <c r="G117" s="1307">
        <v>0.4</v>
      </c>
      <c r="H117" s="1308">
        <v>91</v>
      </c>
      <c r="I117" s="1309">
        <f t="shared" ref="I117:I132" si="20">IF((F117-H117)/6.25&lt;0,ROUND((F117-H117)/6.25,0),"+"&amp;ROUND(((F117-H117)/6.25),0))</f>
        <v>-6</v>
      </c>
      <c r="J117" s="1310">
        <v>4.3</v>
      </c>
      <c r="K117" s="1308">
        <v>400</v>
      </c>
      <c r="L117" s="1308">
        <v>709</v>
      </c>
      <c r="M117" s="1308">
        <f t="shared" ref="M117:M129" si="21">IF(AND(S117&lt;&gt;"",F117&lt;&gt;"",L117&lt;&gt;"",P117&lt;&gt;""),1000-F117-L117-P117-S117,"Fehler")</f>
        <v>151</v>
      </c>
      <c r="N117" s="1308">
        <v>0</v>
      </c>
      <c r="O117" s="1311">
        <v>10</v>
      </c>
      <c r="P117" s="1311">
        <v>16</v>
      </c>
      <c r="Q117" s="1308">
        <v>380</v>
      </c>
      <c r="R117" s="1315">
        <v>1.25</v>
      </c>
      <c r="S117" s="1304">
        <v>70</v>
      </c>
      <c r="T117" s="1305">
        <v>4.7</v>
      </c>
      <c r="U117" s="1305">
        <v>1.6</v>
      </c>
      <c r="V117" s="1305">
        <v>0.7</v>
      </c>
      <c r="W117" s="1305">
        <v>1.8</v>
      </c>
      <c r="X117" s="1313">
        <v>18.899999999999999</v>
      </c>
      <c r="Y117" s="1359" t="s">
        <v>369</v>
      </c>
      <c r="Z117" s="1397"/>
      <c r="AA117" s="485"/>
      <c r="AB117" s="482"/>
      <c r="AC117" s="482"/>
      <c r="AD117" s="482"/>
      <c r="AE117" s="482"/>
      <c r="AF117" s="482"/>
      <c r="AG117" s="482"/>
    </row>
    <row r="118" spans="1:35" s="450" customFormat="1" ht="17.25" customHeight="1" x14ac:dyDescent="0.2">
      <c r="A118" s="483"/>
      <c r="B118" s="1303" t="s">
        <v>156</v>
      </c>
      <c r="C118" s="1304">
        <v>860</v>
      </c>
      <c r="D118" s="1305">
        <v>3.66</v>
      </c>
      <c r="E118" s="1305">
        <v>6.65</v>
      </c>
      <c r="F118" s="1306">
        <v>36</v>
      </c>
      <c r="G118" s="1307">
        <v>0.4</v>
      </c>
      <c r="H118" s="1308">
        <f t="shared" ref="H118:H129" si="22">ROUND((11.93-(6.82*G118))*E118+1.03*G118*F118,0)</f>
        <v>76</v>
      </c>
      <c r="I118" s="1309">
        <f t="shared" si="20"/>
        <v>-6</v>
      </c>
      <c r="J118" s="1310">
        <v>4.3</v>
      </c>
      <c r="K118" s="1308">
        <f>1.1*Q118</f>
        <v>484.00000000000006</v>
      </c>
      <c r="L118" s="1308">
        <f>1.8*Q118</f>
        <v>792</v>
      </c>
      <c r="M118" s="1308">
        <f t="shared" si="21"/>
        <v>91</v>
      </c>
      <c r="N118" s="1311">
        <v>0</v>
      </c>
      <c r="O118" s="1311">
        <v>14</v>
      </c>
      <c r="P118" s="1311">
        <v>15</v>
      </c>
      <c r="Q118" s="1308">
        <v>440</v>
      </c>
      <c r="R118" s="1315">
        <v>1.5</v>
      </c>
      <c r="S118" s="1304">
        <v>66</v>
      </c>
      <c r="T118" s="1305">
        <v>4</v>
      </c>
      <c r="U118" s="1305">
        <v>1.4</v>
      </c>
      <c r="V118" s="1305">
        <v>2</v>
      </c>
      <c r="W118" s="1305">
        <v>1</v>
      </c>
      <c r="X118" s="1313">
        <v>21</v>
      </c>
      <c r="Y118" s="1359" t="s">
        <v>369</v>
      </c>
      <c r="Z118" s="1397"/>
      <c r="AA118" s="485" t="str">
        <f t="shared" si="19"/>
        <v/>
      </c>
      <c r="AB118" s="482"/>
      <c r="AC118" s="482"/>
      <c r="AD118" s="482"/>
      <c r="AE118" s="482"/>
      <c r="AF118" s="482"/>
      <c r="AG118" s="482"/>
    </row>
    <row r="119" spans="1:35" s="450" customFormat="1" ht="17.25" customHeight="1" x14ac:dyDescent="0.2">
      <c r="A119" s="483"/>
      <c r="B119" s="1303" t="s">
        <v>178</v>
      </c>
      <c r="C119" s="1304">
        <v>880</v>
      </c>
      <c r="D119" s="1305">
        <v>6.6</v>
      </c>
      <c r="E119" s="1305">
        <v>11</v>
      </c>
      <c r="F119" s="1306">
        <v>152</v>
      </c>
      <c r="G119" s="1307">
        <v>0.2</v>
      </c>
      <c r="H119" s="1308">
        <v>147</v>
      </c>
      <c r="I119" s="1309" t="str">
        <f t="shared" si="20"/>
        <v>+1</v>
      </c>
      <c r="J119" s="1310">
        <f t="shared" ref="J119:J129" si="23">ROUND((+Q119*0.0125-0.2)*1.05,1)</f>
        <v>2.4</v>
      </c>
      <c r="K119" s="1308">
        <v>240</v>
      </c>
      <c r="L119" s="1308">
        <v>448</v>
      </c>
      <c r="M119" s="1308">
        <f t="shared" si="21"/>
        <v>278</v>
      </c>
      <c r="N119" s="1308">
        <v>0</v>
      </c>
      <c r="O119" s="1311">
        <v>170</v>
      </c>
      <c r="P119" s="1311">
        <v>30</v>
      </c>
      <c r="Q119" s="1308">
        <v>202</v>
      </c>
      <c r="R119" s="1315">
        <v>1</v>
      </c>
      <c r="S119" s="1304">
        <v>92</v>
      </c>
      <c r="T119" s="1305">
        <v>4.9000000000000004</v>
      </c>
      <c r="U119" s="1305">
        <v>2.8</v>
      </c>
      <c r="V119" s="1305">
        <v>0.3</v>
      </c>
      <c r="W119" s="1305">
        <v>1.9</v>
      </c>
      <c r="X119" s="1313">
        <v>28</v>
      </c>
      <c r="Y119" s="1359" t="s">
        <v>369</v>
      </c>
      <c r="Z119" s="1397"/>
      <c r="AA119" s="485" t="str">
        <f t="shared" si="19"/>
        <v/>
      </c>
      <c r="AB119" s="482"/>
      <c r="AC119" s="482"/>
      <c r="AD119" s="482"/>
      <c r="AE119" s="482"/>
      <c r="AF119" s="482"/>
      <c r="AG119" s="482"/>
    </row>
    <row r="120" spans="1:35" s="450" customFormat="1" ht="17.25" customHeight="1" x14ac:dyDescent="0.2">
      <c r="A120" s="483"/>
      <c r="B120" s="1303" t="s">
        <v>151</v>
      </c>
      <c r="C120" s="1304">
        <v>880</v>
      </c>
      <c r="D120" s="1305">
        <v>6</v>
      </c>
      <c r="E120" s="1305">
        <v>10.1</v>
      </c>
      <c r="F120" s="1306">
        <v>134</v>
      </c>
      <c r="G120" s="1307">
        <v>0.2</v>
      </c>
      <c r="H120" s="1308">
        <f t="shared" si="22"/>
        <v>134</v>
      </c>
      <c r="I120" s="1309" t="str">
        <f t="shared" si="20"/>
        <v>+0</v>
      </c>
      <c r="J120" s="1310">
        <f t="shared" si="23"/>
        <v>3</v>
      </c>
      <c r="K120" s="1308">
        <v>288</v>
      </c>
      <c r="L120" s="1308">
        <v>513</v>
      </c>
      <c r="M120" s="1308">
        <f t="shared" si="21"/>
        <v>239</v>
      </c>
      <c r="N120" s="1308">
        <v>0</v>
      </c>
      <c r="O120" s="1308">
        <v>135</v>
      </c>
      <c r="P120" s="1311">
        <v>25</v>
      </c>
      <c r="Q120" s="1308">
        <v>248</v>
      </c>
      <c r="R120" s="1315">
        <v>1</v>
      </c>
      <c r="S120" s="1304">
        <v>89</v>
      </c>
      <c r="T120" s="1305">
        <v>4.9000000000000004</v>
      </c>
      <c r="U120" s="1305">
        <v>2.8</v>
      </c>
      <c r="V120" s="1305">
        <v>0.3</v>
      </c>
      <c r="W120" s="1305">
        <v>1.9</v>
      </c>
      <c r="X120" s="1313">
        <v>24</v>
      </c>
      <c r="Y120" s="1359" t="s">
        <v>369</v>
      </c>
      <c r="Z120" s="1397"/>
      <c r="AA120" s="485" t="str">
        <f t="shared" si="19"/>
        <v/>
      </c>
      <c r="AB120" s="482"/>
      <c r="AC120" s="482"/>
      <c r="AD120" s="482"/>
      <c r="AE120" s="482"/>
      <c r="AF120" s="482"/>
      <c r="AG120" s="482"/>
    </row>
    <row r="121" spans="1:35" s="450" customFormat="1" ht="17.25" customHeight="1" x14ac:dyDescent="0.2">
      <c r="A121" s="483"/>
      <c r="B121" s="1303" t="s">
        <v>152</v>
      </c>
      <c r="C121" s="1304">
        <v>880</v>
      </c>
      <c r="D121" s="1305">
        <v>5.4</v>
      </c>
      <c r="E121" s="1305">
        <v>9.3000000000000007</v>
      </c>
      <c r="F121" s="1306">
        <v>122</v>
      </c>
      <c r="G121" s="1307">
        <v>0.2</v>
      </c>
      <c r="H121" s="1308">
        <f t="shared" si="22"/>
        <v>123</v>
      </c>
      <c r="I121" s="1309">
        <f t="shared" si="20"/>
        <v>0</v>
      </c>
      <c r="J121" s="1310">
        <f t="shared" si="23"/>
        <v>3.6</v>
      </c>
      <c r="K121" s="1308">
        <v>332</v>
      </c>
      <c r="L121" s="1308">
        <v>577</v>
      </c>
      <c r="M121" s="1308">
        <f t="shared" si="21"/>
        <v>195</v>
      </c>
      <c r="N121" s="1308">
        <v>0</v>
      </c>
      <c r="O121" s="1311">
        <v>108</v>
      </c>
      <c r="P121" s="1311">
        <v>20</v>
      </c>
      <c r="Q121" s="1308">
        <v>288</v>
      </c>
      <c r="R121" s="1315">
        <v>1</v>
      </c>
      <c r="S121" s="1304">
        <v>86</v>
      </c>
      <c r="T121" s="1305">
        <v>4.9000000000000004</v>
      </c>
      <c r="U121" s="1305">
        <v>2.8</v>
      </c>
      <c r="V121" s="1305">
        <v>0.3</v>
      </c>
      <c r="W121" s="1305">
        <v>1.9</v>
      </c>
      <c r="X121" s="1313">
        <v>20</v>
      </c>
      <c r="Y121" s="1359" t="s">
        <v>369</v>
      </c>
      <c r="Z121" s="1397"/>
      <c r="AA121" s="485" t="str">
        <f t="shared" si="19"/>
        <v/>
      </c>
      <c r="AB121" s="482"/>
      <c r="AC121" s="482"/>
      <c r="AD121" s="482"/>
      <c r="AE121" s="482"/>
      <c r="AF121" s="482"/>
      <c r="AG121" s="482"/>
    </row>
    <row r="122" spans="1:35" s="450" customFormat="1" ht="17.25" customHeight="1" x14ac:dyDescent="0.2">
      <c r="A122" s="483"/>
      <c r="B122" s="1303" t="s">
        <v>179</v>
      </c>
      <c r="C122" s="1304">
        <v>880</v>
      </c>
      <c r="D122" s="1305">
        <v>6.5</v>
      </c>
      <c r="E122" s="1305">
        <v>10.8</v>
      </c>
      <c r="F122" s="1306">
        <v>174</v>
      </c>
      <c r="G122" s="1307">
        <v>0.2</v>
      </c>
      <c r="H122" s="1308">
        <f t="shared" si="22"/>
        <v>150</v>
      </c>
      <c r="I122" s="1309" t="str">
        <f t="shared" si="20"/>
        <v>+4</v>
      </c>
      <c r="J122" s="1310">
        <f t="shared" si="23"/>
        <v>2.5</v>
      </c>
      <c r="K122" s="1308">
        <f>1.15*Q122</f>
        <v>236.89999999999998</v>
      </c>
      <c r="L122" s="1308">
        <v>441</v>
      </c>
      <c r="M122" s="1308">
        <f t="shared" si="21"/>
        <v>244</v>
      </c>
      <c r="N122" s="1308">
        <v>0</v>
      </c>
      <c r="O122" s="1308">
        <v>135</v>
      </c>
      <c r="P122" s="1311">
        <v>25</v>
      </c>
      <c r="Q122" s="1308">
        <v>206</v>
      </c>
      <c r="R122" s="1315">
        <v>1</v>
      </c>
      <c r="S122" s="1304">
        <v>116</v>
      </c>
      <c r="T122" s="1305">
        <v>10</v>
      </c>
      <c r="U122" s="1305">
        <v>4</v>
      </c>
      <c r="V122" s="1305">
        <v>0.9</v>
      </c>
      <c r="W122" s="1305">
        <v>2.7</v>
      </c>
      <c r="X122" s="1313">
        <v>28</v>
      </c>
      <c r="Y122" s="1359" t="s">
        <v>369</v>
      </c>
      <c r="Z122" s="1397"/>
      <c r="AA122" s="485" t="str">
        <f t="shared" si="19"/>
        <v/>
      </c>
      <c r="AB122" s="482"/>
      <c r="AC122" s="482"/>
      <c r="AD122" s="482"/>
      <c r="AE122" s="482"/>
      <c r="AF122" s="482"/>
      <c r="AG122" s="482"/>
    </row>
    <row r="123" spans="1:35" s="450" customFormat="1" ht="17.25" customHeight="1" x14ac:dyDescent="0.2">
      <c r="A123" s="483"/>
      <c r="B123" s="1303" t="s">
        <v>180</v>
      </c>
      <c r="C123" s="1304">
        <v>880</v>
      </c>
      <c r="D123" s="1305">
        <v>6.23</v>
      </c>
      <c r="E123" s="1305">
        <v>10.4</v>
      </c>
      <c r="F123" s="1306">
        <v>159</v>
      </c>
      <c r="G123" s="1307">
        <v>0.2</v>
      </c>
      <c r="H123" s="1308">
        <f t="shared" si="22"/>
        <v>143</v>
      </c>
      <c r="I123" s="1309" t="str">
        <f t="shared" si="20"/>
        <v>+3</v>
      </c>
      <c r="J123" s="1310">
        <f t="shared" si="23"/>
        <v>2.7</v>
      </c>
      <c r="K123" s="1308">
        <v>269</v>
      </c>
      <c r="L123" s="1308">
        <v>472</v>
      </c>
      <c r="M123" s="1308">
        <f t="shared" si="21"/>
        <v>252</v>
      </c>
      <c r="N123" s="1308">
        <v>0</v>
      </c>
      <c r="O123" s="1308">
        <v>129</v>
      </c>
      <c r="P123" s="1311">
        <v>25</v>
      </c>
      <c r="Q123" s="1308">
        <v>222</v>
      </c>
      <c r="R123" s="1315">
        <v>1</v>
      </c>
      <c r="S123" s="1304">
        <v>92</v>
      </c>
      <c r="T123" s="1305">
        <v>10</v>
      </c>
      <c r="U123" s="1305">
        <v>4</v>
      </c>
      <c r="V123" s="1305">
        <v>0.9</v>
      </c>
      <c r="W123" s="1305">
        <v>2.7</v>
      </c>
      <c r="X123" s="1313">
        <v>25</v>
      </c>
      <c r="Y123" s="1359" t="s">
        <v>369</v>
      </c>
      <c r="Z123" s="1397"/>
      <c r="AA123" s="485" t="str">
        <f t="shared" si="19"/>
        <v/>
      </c>
      <c r="AB123" s="482"/>
      <c r="AC123" s="482"/>
      <c r="AD123" s="482"/>
      <c r="AE123" s="482"/>
      <c r="AF123" s="482"/>
      <c r="AG123" s="482"/>
    </row>
    <row r="124" spans="1:35" s="450" customFormat="1" ht="17.25" customHeight="1" x14ac:dyDescent="0.2">
      <c r="A124" s="483"/>
      <c r="B124" s="1303" t="s">
        <v>180</v>
      </c>
      <c r="C124" s="1304">
        <v>880</v>
      </c>
      <c r="D124" s="1305">
        <v>5.5</v>
      </c>
      <c r="E124" s="1305">
        <v>9.4</v>
      </c>
      <c r="F124" s="1306">
        <v>139</v>
      </c>
      <c r="G124" s="1307">
        <v>0.2</v>
      </c>
      <c r="H124" s="1308">
        <f t="shared" si="22"/>
        <v>128</v>
      </c>
      <c r="I124" s="1309" t="str">
        <f t="shared" si="20"/>
        <v>+2</v>
      </c>
      <c r="J124" s="1310">
        <f t="shared" si="23"/>
        <v>3.1</v>
      </c>
      <c r="K124" s="1308">
        <v>307</v>
      </c>
      <c r="L124" s="1308">
        <v>522</v>
      </c>
      <c r="M124" s="1308">
        <f t="shared" si="21"/>
        <v>195</v>
      </c>
      <c r="N124" s="1308">
        <v>0</v>
      </c>
      <c r="O124" s="1308">
        <v>88</v>
      </c>
      <c r="P124" s="1311">
        <v>25</v>
      </c>
      <c r="Q124" s="1308">
        <v>255</v>
      </c>
      <c r="R124" s="1315">
        <v>1</v>
      </c>
      <c r="S124" s="1304">
        <v>119</v>
      </c>
      <c r="T124" s="1305">
        <v>9.4</v>
      </c>
      <c r="U124" s="1305">
        <v>3.6</v>
      </c>
      <c r="V124" s="1305">
        <v>1.1000000000000001</v>
      </c>
      <c r="W124" s="1305">
        <v>2.9</v>
      </c>
      <c r="X124" s="1313">
        <v>21</v>
      </c>
      <c r="Y124" s="1359" t="s">
        <v>369</v>
      </c>
      <c r="Z124" s="1397"/>
      <c r="AA124" s="485" t="str">
        <f t="shared" si="19"/>
        <v/>
      </c>
      <c r="AB124" s="482"/>
      <c r="AC124" s="482"/>
      <c r="AD124" s="482"/>
      <c r="AE124" s="482"/>
      <c r="AF124" s="482"/>
      <c r="AG124" s="482"/>
    </row>
    <row r="125" spans="1:35" s="450" customFormat="1" ht="17.25" customHeight="1" x14ac:dyDescent="0.2">
      <c r="A125" s="483"/>
      <c r="B125" s="1303" t="s">
        <v>181</v>
      </c>
      <c r="C125" s="1304">
        <v>880</v>
      </c>
      <c r="D125" s="1305">
        <v>6.7</v>
      </c>
      <c r="E125" s="1305">
        <v>10.9</v>
      </c>
      <c r="F125" s="1306">
        <f>ROUND(AVERAGE(162,161,170),1)</f>
        <v>164.3</v>
      </c>
      <c r="G125" s="1307">
        <v>0.2</v>
      </c>
      <c r="H125" s="1308">
        <f t="shared" si="22"/>
        <v>149</v>
      </c>
      <c r="I125" s="1309" t="str">
        <f t="shared" si="20"/>
        <v>+2</v>
      </c>
      <c r="J125" s="1310">
        <f t="shared" si="23"/>
        <v>2.2999999999999998</v>
      </c>
      <c r="K125" s="1308">
        <v>232</v>
      </c>
      <c r="L125" s="1308">
        <v>416</v>
      </c>
      <c r="M125" s="1308">
        <f t="shared" si="21"/>
        <v>246.70000000000005</v>
      </c>
      <c r="N125" s="1308">
        <v>0</v>
      </c>
      <c r="O125" s="1308">
        <v>102</v>
      </c>
      <c r="P125" s="1311">
        <v>25</v>
      </c>
      <c r="Q125" s="1308">
        <v>192</v>
      </c>
      <c r="R125" s="1315">
        <v>1</v>
      </c>
      <c r="S125" s="1304">
        <v>148</v>
      </c>
      <c r="T125" s="1305">
        <v>6</v>
      </c>
      <c r="U125" s="1305">
        <v>4</v>
      </c>
      <c r="V125" s="1305">
        <v>0.3</v>
      </c>
      <c r="W125" s="1305">
        <v>2.6</v>
      </c>
      <c r="X125" s="1313">
        <v>30</v>
      </c>
      <c r="Y125" s="1359" t="s">
        <v>369</v>
      </c>
      <c r="Z125" s="1397"/>
      <c r="AA125" s="485" t="str">
        <f t="shared" si="19"/>
        <v/>
      </c>
      <c r="AB125" s="482"/>
      <c r="AC125" s="482"/>
      <c r="AD125" s="482"/>
      <c r="AE125" s="482"/>
      <c r="AF125" s="482"/>
      <c r="AG125" s="482"/>
    </row>
    <row r="126" spans="1:35" s="450" customFormat="1" ht="17.25" customHeight="1" x14ac:dyDescent="0.2">
      <c r="A126" s="483"/>
      <c r="B126" s="1303" t="s">
        <v>182</v>
      </c>
      <c r="C126" s="1304">
        <v>880</v>
      </c>
      <c r="D126" s="1305">
        <v>6.3</v>
      </c>
      <c r="E126" s="1305">
        <v>10.5</v>
      </c>
      <c r="F126" s="1306">
        <f>ROUND(AVERAGE(162,161,170),1)</f>
        <v>164.3</v>
      </c>
      <c r="G126" s="1307">
        <v>0.2</v>
      </c>
      <c r="H126" s="1308">
        <f t="shared" si="22"/>
        <v>145</v>
      </c>
      <c r="I126" s="1309" t="str">
        <f t="shared" si="20"/>
        <v>+3</v>
      </c>
      <c r="J126" s="1310">
        <f t="shared" si="23"/>
        <v>2.6</v>
      </c>
      <c r="K126" s="1308">
        <v>263</v>
      </c>
      <c r="L126" s="1308">
        <v>459</v>
      </c>
      <c r="M126" s="1308">
        <f t="shared" si="21"/>
        <v>236.70000000000005</v>
      </c>
      <c r="N126" s="1308">
        <v>0</v>
      </c>
      <c r="O126" s="1308">
        <v>120</v>
      </c>
      <c r="P126" s="1311">
        <v>25</v>
      </c>
      <c r="Q126" s="1308">
        <v>217</v>
      </c>
      <c r="R126" s="1315">
        <v>1</v>
      </c>
      <c r="S126" s="1304">
        <v>115</v>
      </c>
      <c r="T126" s="1305">
        <v>6</v>
      </c>
      <c r="U126" s="1305">
        <v>4</v>
      </c>
      <c r="V126" s="1305">
        <v>0.3</v>
      </c>
      <c r="W126" s="1305">
        <v>2.6</v>
      </c>
      <c r="X126" s="1313">
        <v>30</v>
      </c>
      <c r="Y126" s="1359" t="s">
        <v>369</v>
      </c>
      <c r="Z126" s="1397"/>
      <c r="AA126" s="485" t="str">
        <f t="shared" si="19"/>
        <v/>
      </c>
      <c r="AB126" s="482"/>
      <c r="AC126" s="482"/>
      <c r="AD126" s="482"/>
      <c r="AE126" s="482"/>
      <c r="AF126" s="482"/>
      <c r="AG126" s="482"/>
    </row>
    <row r="127" spans="1:35" s="450" customFormat="1" ht="17.25" customHeight="1" x14ac:dyDescent="0.2">
      <c r="A127" s="483"/>
      <c r="B127" s="1303" t="s">
        <v>182</v>
      </c>
      <c r="C127" s="1304">
        <v>880</v>
      </c>
      <c r="D127" s="1305">
        <v>5.9</v>
      </c>
      <c r="E127" s="1305">
        <v>9.8000000000000007</v>
      </c>
      <c r="F127" s="1306">
        <f>ROUND(AVERAGE(162-28,161-20,170-31),1)</f>
        <v>138</v>
      </c>
      <c r="G127" s="1307">
        <v>0.2</v>
      </c>
      <c r="H127" s="1308">
        <f t="shared" si="22"/>
        <v>132</v>
      </c>
      <c r="I127" s="1309" t="str">
        <f t="shared" si="20"/>
        <v>+1</v>
      </c>
      <c r="J127" s="1310">
        <f t="shared" si="23"/>
        <v>2.6</v>
      </c>
      <c r="K127" s="1308">
        <v>269</v>
      </c>
      <c r="L127" s="1308">
        <v>460</v>
      </c>
      <c r="M127" s="1308">
        <f t="shared" si="21"/>
        <v>240</v>
      </c>
      <c r="N127" s="1308">
        <v>0</v>
      </c>
      <c r="O127" s="1308">
        <v>126</v>
      </c>
      <c r="P127" s="1311">
        <v>25</v>
      </c>
      <c r="Q127" s="1308">
        <v>217</v>
      </c>
      <c r="R127" s="1315">
        <v>1</v>
      </c>
      <c r="S127" s="1304">
        <v>137</v>
      </c>
      <c r="T127" s="1305">
        <v>6</v>
      </c>
      <c r="U127" s="1305">
        <v>4</v>
      </c>
      <c r="V127" s="1305">
        <v>0.3</v>
      </c>
      <c r="W127" s="1305">
        <v>2.6</v>
      </c>
      <c r="X127" s="1313">
        <v>30</v>
      </c>
      <c r="Y127" s="1359" t="s">
        <v>369</v>
      </c>
      <c r="Z127" s="1397"/>
      <c r="AA127" s="485" t="str">
        <f t="shared" si="19"/>
        <v/>
      </c>
      <c r="AB127" s="482"/>
      <c r="AC127" s="482"/>
      <c r="AD127" s="482"/>
      <c r="AE127" s="482"/>
      <c r="AF127" s="482"/>
      <c r="AG127" s="482"/>
    </row>
    <row r="128" spans="1:35" s="450" customFormat="1" ht="17.25" customHeight="1" x14ac:dyDescent="0.2">
      <c r="A128" s="483"/>
      <c r="B128" s="1303" t="s">
        <v>158</v>
      </c>
      <c r="C128" s="1304">
        <v>860</v>
      </c>
      <c r="D128" s="1305">
        <v>5.9</v>
      </c>
      <c r="E128" s="1305">
        <v>10</v>
      </c>
      <c r="F128" s="1306">
        <v>140</v>
      </c>
      <c r="G128" s="1307">
        <v>0.2</v>
      </c>
      <c r="H128" s="1308">
        <f t="shared" si="22"/>
        <v>135</v>
      </c>
      <c r="I128" s="1309" t="str">
        <f t="shared" si="20"/>
        <v>+1</v>
      </c>
      <c r="J128" s="1310">
        <f t="shared" si="23"/>
        <v>3.2</v>
      </c>
      <c r="K128" s="1308">
        <f>Q128*1.05</f>
        <v>273</v>
      </c>
      <c r="L128" s="1308">
        <f>Q128*2.3</f>
        <v>598</v>
      </c>
      <c r="M128" s="1308">
        <f t="shared" si="21"/>
        <v>143</v>
      </c>
      <c r="N128" s="1311">
        <v>0</v>
      </c>
      <c r="O128" s="1311">
        <v>30</v>
      </c>
      <c r="P128" s="1311">
        <v>25</v>
      </c>
      <c r="Q128" s="1308">
        <v>260</v>
      </c>
      <c r="R128" s="1315">
        <v>1</v>
      </c>
      <c r="S128" s="1304">
        <v>94</v>
      </c>
      <c r="T128" s="1305">
        <v>15</v>
      </c>
      <c r="U128" s="1305">
        <v>2.5</v>
      </c>
      <c r="V128" s="1305">
        <v>0.5</v>
      </c>
      <c r="W128" s="1305">
        <v>3.2</v>
      </c>
      <c r="X128" s="1313">
        <v>20</v>
      </c>
      <c r="Y128" s="1359" t="s">
        <v>369</v>
      </c>
      <c r="Z128" s="1397"/>
      <c r="AA128" s="485" t="str">
        <f t="shared" si="19"/>
        <v/>
      </c>
      <c r="AB128" s="482"/>
      <c r="AC128" s="482"/>
      <c r="AD128" s="482"/>
      <c r="AE128" s="482"/>
      <c r="AF128" s="482"/>
      <c r="AG128" s="482"/>
    </row>
    <row r="129" spans="1:35" s="450" customFormat="1" ht="17.25" customHeight="1" x14ac:dyDescent="0.2">
      <c r="A129" s="483"/>
      <c r="B129" s="1303" t="s">
        <v>159</v>
      </c>
      <c r="C129" s="1304">
        <v>860</v>
      </c>
      <c r="D129" s="1305">
        <v>5.0999999999999996</v>
      </c>
      <c r="E129" s="1305">
        <v>8.6999999999999993</v>
      </c>
      <c r="F129" s="1306">
        <v>125</v>
      </c>
      <c r="G129" s="1307">
        <v>0.2</v>
      </c>
      <c r="H129" s="1308">
        <f t="shared" si="22"/>
        <v>118</v>
      </c>
      <c r="I129" s="1309" t="str">
        <f t="shared" si="20"/>
        <v>+1</v>
      </c>
      <c r="J129" s="1310">
        <f t="shared" si="23"/>
        <v>4.0999999999999996</v>
      </c>
      <c r="K129" s="1308">
        <f>Q129*1.05</f>
        <v>346.5</v>
      </c>
      <c r="L129" s="1308">
        <f>Q129*2.3</f>
        <v>758.99999999999989</v>
      </c>
      <c r="M129" s="1308">
        <f t="shared" si="21"/>
        <v>8.0000000000001137</v>
      </c>
      <c r="N129" s="1311">
        <v>0</v>
      </c>
      <c r="O129" s="1311">
        <v>25</v>
      </c>
      <c r="P129" s="1311">
        <v>25</v>
      </c>
      <c r="Q129" s="1308">
        <v>330</v>
      </c>
      <c r="R129" s="1315">
        <v>1</v>
      </c>
      <c r="S129" s="1304">
        <v>83</v>
      </c>
      <c r="T129" s="1305">
        <v>15</v>
      </c>
      <c r="U129" s="1305">
        <v>2.5</v>
      </c>
      <c r="V129" s="1305">
        <v>0.5</v>
      </c>
      <c r="W129" s="1305">
        <v>3.2</v>
      </c>
      <c r="X129" s="1313">
        <v>20</v>
      </c>
      <c r="Y129" s="1359" t="s">
        <v>369</v>
      </c>
      <c r="Z129" s="1397"/>
      <c r="AA129" s="485" t="str">
        <f t="shared" si="19"/>
        <v/>
      </c>
      <c r="AB129" s="482"/>
      <c r="AC129" s="482"/>
      <c r="AD129" s="482"/>
      <c r="AE129" s="482"/>
      <c r="AF129" s="482"/>
      <c r="AG129" s="482"/>
    </row>
    <row r="130" spans="1:35" s="450" customFormat="1" ht="17.25" customHeight="1" x14ac:dyDescent="0.2">
      <c r="A130" s="483"/>
      <c r="B130" s="1303" t="s">
        <v>203</v>
      </c>
      <c r="C130" s="1304">
        <v>860</v>
      </c>
      <c r="D130" s="1305">
        <v>4.9000000000000004</v>
      </c>
      <c r="E130" s="1305">
        <v>8.52</v>
      </c>
      <c r="F130" s="1306">
        <v>185</v>
      </c>
      <c r="G130" s="1307">
        <v>0.25</v>
      </c>
      <c r="H130" s="1308">
        <f>ROUND((11.93-(6.82*G130))*E130+1.03*G130*F130,0)</f>
        <v>135</v>
      </c>
      <c r="I130" s="1309" t="str">
        <f>IF((F130-H130)/6.25&lt;0,ROUND((F130-H130)/6.25,0),"+"&amp;ROUND(((F130-H130)/6.25),0))</f>
        <v>+8</v>
      </c>
      <c r="J130" s="1310">
        <f>ROUND((+Q130*0.0125-0.2)*1.05,1)</f>
        <v>3.8</v>
      </c>
      <c r="K130" s="1308">
        <f>1.35*Q130</f>
        <v>411.75</v>
      </c>
      <c r="L130" s="1308">
        <f>1.6*Q130</f>
        <v>488</v>
      </c>
      <c r="M130" s="1308">
        <f>IF(AND(S130&lt;&gt;"",F130&lt;&gt;"",L130&lt;&gt;"",P130&lt;&gt;""),1000-F130-L130-P130-S130,"Fehler")</f>
        <v>219</v>
      </c>
      <c r="N130" s="1311">
        <v>0</v>
      </c>
      <c r="O130" s="1311">
        <v>60</v>
      </c>
      <c r="P130" s="1311">
        <v>20</v>
      </c>
      <c r="Q130" s="1308">
        <v>305</v>
      </c>
      <c r="R130" s="1315">
        <v>1</v>
      </c>
      <c r="S130" s="1304">
        <v>88</v>
      </c>
      <c r="T130" s="1305">
        <v>16</v>
      </c>
      <c r="U130" s="1305">
        <v>3.5</v>
      </c>
      <c r="V130" s="1305">
        <v>0.8</v>
      </c>
      <c r="W130" s="1305">
        <v>3.1</v>
      </c>
      <c r="X130" s="1313">
        <v>30</v>
      </c>
      <c r="Y130" s="1359" t="s">
        <v>369</v>
      </c>
      <c r="Z130" s="1397"/>
      <c r="AA130" s="485" t="str">
        <f>IF(COUNTA(B130:Y130)&lt;21,"x","")</f>
        <v/>
      </c>
      <c r="AB130" s="482"/>
      <c r="AC130" s="482"/>
      <c r="AD130" s="482"/>
      <c r="AE130" s="482"/>
      <c r="AF130" s="482"/>
      <c r="AG130" s="482"/>
    </row>
    <row r="131" spans="1:35" s="450" customFormat="1" ht="17.25" customHeight="1" x14ac:dyDescent="0.2">
      <c r="A131" s="483"/>
      <c r="B131" s="1303" t="s">
        <v>157</v>
      </c>
      <c r="C131" s="1304">
        <v>860</v>
      </c>
      <c r="D131" s="1305">
        <v>4.63</v>
      </c>
      <c r="E131" s="1305">
        <v>8.1199999999999992</v>
      </c>
      <c r="F131" s="1306">
        <v>180</v>
      </c>
      <c r="G131" s="1307">
        <v>0.25</v>
      </c>
      <c r="H131" s="1308">
        <f>ROUND((11.93-(6.82*G131))*E131+1.03*G131*F131,0)</f>
        <v>129</v>
      </c>
      <c r="I131" s="1309" t="str">
        <f>IF((F131-H131)/6.25&lt;0,ROUND((F131-H131)/6.25,0),"+"&amp;ROUND(((F131-H131)/6.25),0))</f>
        <v>+8</v>
      </c>
      <c r="J131" s="1310">
        <f>ROUND((+Q131*0.0125-0.2)*1.05,1)</f>
        <v>3.7</v>
      </c>
      <c r="K131" s="1308">
        <f>1.35*Q131</f>
        <v>405</v>
      </c>
      <c r="L131" s="1308">
        <f>1.6*Q131</f>
        <v>480</v>
      </c>
      <c r="M131" s="1308">
        <f>IF(AND(S131&lt;&gt;"",F131&lt;&gt;"",L131&lt;&gt;"",P131&lt;&gt;""),1000-F131-L131-P131-S131,"Fehler")</f>
        <v>224</v>
      </c>
      <c r="N131" s="1311">
        <v>0</v>
      </c>
      <c r="O131" s="1311">
        <v>50</v>
      </c>
      <c r="P131" s="1311">
        <v>20</v>
      </c>
      <c r="Q131" s="1308">
        <v>300</v>
      </c>
      <c r="R131" s="1315">
        <v>1</v>
      </c>
      <c r="S131" s="1304">
        <v>96</v>
      </c>
      <c r="T131" s="1305">
        <v>18</v>
      </c>
      <c r="U131" s="1305">
        <v>3.1</v>
      </c>
      <c r="V131" s="1305">
        <v>0.8</v>
      </c>
      <c r="W131" s="1305">
        <v>3.9</v>
      </c>
      <c r="X131" s="1313">
        <v>27</v>
      </c>
      <c r="Y131" s="1359" t="s">
        <v>369</v>
      </c>
      <c r="Z131" s="1397"/>
      <c r="AA131" s="485" t="str">
        <f>IF(COUNTA(B131:Y131)&lt;21,"x","")</f>
        <v/>
      </c>
      <c r="AB131" s="482"/>
      <c r="AC131" s="482"/>
      <c r="AD131" s="482"/>
      <c r="AE131" s="482"/>
      <c r="AF131" s="482"/>
      <c r="AG131" s="482"/>
    </row>
    <row r="132" spans="1:35" s="450" customFormat="1" ht="12" x14ac:dyDescent="0.2">
      <c r="A132" s="483"/>
      <c r="B132" s="1303" t="s">
        <v>160</v>
      </c>
      <c r="C132" s="1304">
        <v>860</v>
      </c>
      <c r="D132" s="1305">
        <v>4</v>
      </c>
      <c r="E132" s="1305">
        <f>D132/0.63</f>
        <v>6.3492063492063489</v>
      </c>
      <c r="F132" s="1306">
        <v>48</v>
      </c>
      <c r="G132" s="1307">
        <v>0.45</v>
      </c>
      <c r="H132" s="1308">
        <v>80</v>
      </c>
      <c r="I132" s="1309">
        <f t="shared" si="20"/>
        <v>-5</v>
      </c>
      <c r="J132" s="1310">
        <v>4.3</v>
      </c>
      <c r="K132" s="1308">
        <v>480</v>
      </c>
      <c r="L132" s="1308">
        <v>753</v>
      </c>
      <c r="M132" s="1308">
        <v>121</v>
      </c>
      <c r="N132" s="1311">
        <v>0</v>
      </c>
      <c r="O132" s="1311">
        <v>8</v>
      </c>
      <c r="P132" s="1311">
        <v>16</v>
      </c>
      <c r="Q132" s="1308">
        <v>442</v>
      </c>
      <c r="R132" s="1315">
        <v>1.5</v>
      </c>
      <c r="S132" s="1304">
        <v>62</v>
      </c>
      <c r="T132" s="1305">
        <v>2.9</v>
      </c>
      <c r="U132" s="1305">
        <v>1.5</v>
      </c>
      <c r="V132" s="1305">
        <v>0.2</v>
      </c>
      <c r="W132" s="1305">
        <v>0.8</v>
      </c>
      <c r="X132" s="1313">
        <v>12.3</v>
      </c>
      <c r="Y132" s="1359" t="s">
        <v>369</v>
      </c>
      <c r="Z132" s="1397"/>
      <c r="AA132" s="485" t="str">
        <f t="shared" si="19"/>
        <v/>
      </c>
      <c r="AB132" s="482"/>
      <c r="AC132" s="482"/>
      <c r="AD132" s="482"/>
      <c r="AE132" s="482"/>
      <c r="AF132" s="482"/>
      <c r="AG132" s="482"/>
    </row>
    <row r="133" spans="1:35" s="487" customFormat="1" ht="12" x14ac:dyDescent="0.2">
      <c r="A133" s="488"/>
      <c r="B133" s="1318"/>
      <c r="C133" s="1319"/>
      <c r="D133" s="1320"/>
      <c r="E133" s="1320"/>
      <c r="F133" s="1321"/>
      <c r="G133" s="1320"/>
      <c r="H133" s="1320"/>
      <c r="I133" s="1320"/>
      <c r="J133" s="1320"/>
      <c r="K133" s="1320"/>
      <c r="L133" s="1320"/>
      <c r="M133" s="1320"/>
      <c r="N133" s="1320"/>
      <c r="O133" s="1322"/>
      <c r="P133" s="1322"/>
      <c r="Q133" s="1320"/>
      <c r="R133" s="1320"/>
      <c r="S133" s="1319"/>
      <c r="T133" s="1320"/>
      <c r="U133" s="1323"/>
      <c r="V133" s="1323"/>
      <c r="W133" s="1323"/>
      <c r="X133" s="1324"/>
      <c r="Y133" s="1324"/>
      <c r="Z133" s="1376"/>
      <c r="AA133" s="485" t="str">
        <f t="shared" si="19"/>
        <v>x</v>
      </c>
      <c r="AB133" s="486"/>
      <c r="AC133" s="486"/>
      <c r="AD133" s="486"/>
      <c r="AE133" s="486"/>
      <c r="AF133" s="486"/>
      <c r="AG133" s="486"/>
      <c r="AI133" s="450"/>
    </row>
    <row r="134" spans="1:35" s="450" customFormat="1" ht="17.25" customHeight="1" x14ac:dyDescent="0.2">
      <c r="A134" s="472" t="s">
        <v>91</v>
      </c>
      <c r="B134" s="1325"/>
      <c r="C134" s="1326">
        <v>1E-4</v>
      </c>
      <c r="D134" s="1327">
        <v>1E-4</v>
      </c>
      <c r="E134" s="1327">
        <v>1E-4</v>
      </c>
      <c r="F134" s="1328">
        <v>1E-4</v>
      </c>
      <c r="G134" s="1327">
        <v>1E-4</v>
      </c>
      <c r="H134" s="1327">
        <v>1E-4</v>
      </c>
      <c r="I134" s="1327">
        <v>1E-4</v>
      </c>
      <c r="J134" s="1327">
        <v>1E-4</v>
      </c>
      <c r="K134" s="1327">
        <v>1E-4</v>
      </c>
      <c r="L134" s="1327">
        <v>1E-4</v>
      </c>
      <c r="M134" s="1327">
        <v>1E-4</v>
      </c>
      <c r="N134" s="1327">
        <v>1E-4</v>
      </c>
      <c r="O134" s="1327">
        <v>1E-4</v>
      </c>
      <c r="P134" s="1327">
        <v>1E-4</v>
      </c>
      <c r="Q134" s="1327">
        <v>1E-4</v>
      </c>
      <c r="R134" s="1327">
        <v>1E-4</v>
      </c>
      <c r="S134" s="1326">
        <v>1E-4</v>
      </c>
      <c r="T134" s="1327">
        <v>1E-4</v>
      </c>
      <c r="U134" s="1329">
        <v>1E-4</v>
      </c>
      <c r="V134" s="1329">
        <v>1E-4</v>
      </c>
      <c r="W134" s="1329">
        <v>1E-4</v>
      </c>
      <c r="X134" s="1330">
        <v>1E-4</v>
      </c>
      <c r="Y134" s="1330">
        <v>1E-4</v>
      </c>
      <c r="Z134" s="1377"/>
      <c r="AA134" s="453"/>
      <c r="AB134" s="479"/>
      <c r="AC134" s="479"/>
      <c r="AD134" s="479"/>
      <c r="AE134" s="479"/>
      <c r="AF134" s="479"/>
      <c r="AG134" s="479"/>
    </row>
    <row r="135" spans="1:35" s="450" customFormat="1" ht="17.25" customHeight="1" x14ac:dyDescent="0.2">
      <c r="A135" s="483"/>
      <c r="B135" s="1303" t="s">
        <v>92</v>
      </c>
      <c r="C135" s="1304">
        <v>880</v>
      </c>
      <c r="D135" s="1305">
        <v>8.5</v>
      </c>
      <c r="E135" s="1305">
        <f>D135/0.63</f>
        <v>13.492063492063492</v>
      </c>
      <c r="F135" s="1306">
        <v>272</v>
      </c>
      <c r="G135" s="1307">
        <v>0.15</v>
      </c>
      <c r="H135" s="1308">
        <f>ROUND((11.93-(6.82*G135))*E135+1.03*G135*F135,0)</f>
        <v>189</v>
      </c>
      <c r="I135" s="1309" t="str">
        <f>IF((F135-H135)/6.25&lt;0,ROUND((F135-H135)/6.25,0),"+"&amp;ROUND(((F135-H135)/6.25),0))</f>
        <v>+13</v>
      </c>
      <c r="J135" s="1310">
        <f t="shared" ref="J135:J172" si="24">ROUND(0.321+0.00098*AB135+0.00025*AE135-(0.00112*(AF135+AG135*(AC135-AE135))),2)</f>
        <v>0.27</v>
      </c>
      <c r="K135" s="1308">
        <v>185</v>
      </c>
      <c r="L135" s="1308">
        <v>313</v>
      </c>
      <c r="M135" s="1308">
        <f t="shared" ref="M135:M172" si="25">IF(AND(S135&lt;&gt;"",F135&lt;&gt;"",L135&lt;&gt;"",P135&lt;&gt;""),1000-F135-L135-P135-S135,"Fehler")</f>
        <v>360</v>
      </c>
      <c r="N135" s="1308">
        <v>410</v>
      </c>
      <c r="O135" s="1312">
        <v>40</v>
      </c>
      <c r="P135" s="1312">
        <v>15</v>
      </c>
      <c r="Q135" s="1312">
        <v>170</v>
      </c>
      <c r="R135" s="1307">
        <v>0</v>
      </c>
      <c r="S135" s="1304">
        <v>40</v>
      </c>
      <c r="T135" s="1305">
        <v>1.8</v>
      </c>
      <c r="U135" s="1305">
        <v>9</v>
      </c>
      <c r="V135" s="1305">
        <v>0.3</v>
      </c>
      <c r="W135" s="1305">
        <v>1.5</v>
      </c>
      <c r="X135" s="1313">
        <v>14</v>
      </c>
      <c r="Y135" s="1359" t="s">
        <v>369</v>
      </c>
      <c r="Z135" s="1397"/>
      <c r="AA135" s="485" t="str">
        <f t="shared" ref="AA135:AA172" si="26">IF(COUNTA(B135:Y135)&lt;21,"x","")</f>
        <v/>
      </c>
      <c r="AB135" s="482">
        <f t="shared" ref="AB135:AB172" si="27">+Q135</f>
        <v>170</v>
      </c>
      <c r="AC135" s="482">
        <f>IF(N135=0,0.0001,N135)</f>
        <v>410</v>
      </c>
      <c r="AD135" s="495">
        <v>0.25</v>
      </c>
      <c r="AE135" s="482">
        <f t="shared" ref="AE135:AE172" si="28">+AC135*AD135</f>
        <v>102.5</v>
      </c>
      <c r="AF135" s="482">
        <f t="shared" ref="AF135:AF172" si="29">+O135</f>
        <v>40</v>
      </c>
      <c r="AG135" s="496">
        <f t="shared" ref="AG135:AG172" si="30">0.9-1.3*AD135</f>
        <v>0.57499999999999996</v>
      </c>
    </row>
    <row r="136" spans="1:35" s="450" customFormat="1" ht="17.25" customHeight="1" x14ac:dyDescent="0.2">
      <c r="A136" s="483"/>
      <c r="B136" s="1331" t="s">
        <v>131</v>
      </c>
      <c r="C136" s="1332">
        <v>900</v>
      </c>
      <c r="D136" s="1305">
        <v>6.5</v>
      </c>
      <c r="E136" s="1305">
        <v>11</v>
      </c>
      <c r="F136" s="1306">
        <v>445</v>
      </c>
      <c r="G136" s="1307">
        <v>0.4</v>
      </c>
      <c r="H136" s="1308">
        <f>ROUND((11.93-(6.82*G136))*E136+1.03*G136*F136,0)</f>
        <v>285</v>
      </c>
      <c r="I136" s="1309" t="str">
        <f>IF((F136-H136)/6.25&lt;0,ROUND((F136-H136)/6.25,0),"+"&amp;ROUND(((F136-H136)/6.25),0))</f>
        <v>+26</v>
      </c>
      <c r="J136" s="1310">
        <f t="shared" si="24"/>
        <v>0.41</v>
      </c>
      <c r="K136" s="1308">
        <v>205</v>
      </c>
      <c r="L136" s="1308">
        <v>310</v>
      </c>
      <c r="M136" s="1308">
        <f t="shared" si="25"/>
        <v>161</v>
      </c>
      <c r="N136" s="1308">
        <v>0</v>
      </c>
      <c r="O136" s="1312">
        <v>55</v>
      </c>
      <c r="P136" s="1312">
        <v>15</v>
      </c>
      <c r="Q136" s="1312">
        <v>150</v>
      </c>
      <c r="R136" s="1307">
        <v>0</v>
      </c>
      <c r="S136" s="1304">
        <v>69</v>
      </c>
      <c r="T136" s="1305">
        <v>2.2999999999999998</v>
      </c>
      <c r="U136" s="1305">
        <v>12</v>
      </c>
      <c r="V136" s="1305">
        <v>0.6</v>
      </c>
      <c r="W136" s="1305">
        <f>4.9/0.9</f>
        <v>5.4444444444444446</v>
      </c>
      <c r="X136" s="1313">
        <v>15</v>
      </c>
      <c r="Y136" s="1359" t="s">
        <v>369</v>
      </c>
      <c r="Z136" s="1397"/>
      <c r="AA136" s="485" t="str">
        <f t="shared" si="26"/>
        <v/>
      </c>
      <c r="AB136" s="482">
        <f t="shared" si="27"/>
        <v>150</v>
      </c>
      <c r="AC136" s="482">
        <f>IF(N136=0,0.0001,N136)</f>
        <v>1E-4</v>
      </c>
      <c r="AD136" s="495">
        <v>1</v>
      </c>
      <c r="AE136" s="482">
        <f t="shared" si="28"/>
        <v>1E-4</v>
      </c>
      <c r="AF136" s="482">
        <f t="shared" si="29"/>
        <v>55</v>
      </c>
      <c r="AG136" s="496">
        <f t="shared" si="30"/>
        <v>-0.4</v>
      </c>
    </row>
    <row r="137" spans="1:35" s="450" customFormat="1" ht="17.25" customHeight="1" x14ac:dyDescent="0.2">
      <c r="A137" s="483"/>
      <c r="B137" s="1331" t="s">
        <v>136</v>
      </c>
      <c r="C137" s="1304">
        <v>930</v>
      </c>
      <c r="D137" s="1305">
        <v>7.3</v>
      </c>
      <c r="E137" s="1305">
        <f>D137/0.63</f>
        <v>11.587301587301587</v>
      </c>
      <c r="F137" s="1306">
        <v>495</v>
      </c>
      <c r="G137" s="1307">
        <v>0.2</v>
      </c>
      <c r="H137" s="1308">
        <f>ROUND((11.93-(6.82*G137))*E137+1.03*G137*F137,0)</f>
        <v>224</v>
      </c>
      <c r="I137" s="1309" t="str">
        <f>IF((F137-H137)/6.25&lt;0,ROUND((F137-H137)/6.25,0),"+"&amp;ROUND(((F137-H137)/6.25),0))</f>
        <v>+43</v>
      </c>
      <c r="J137" s="1310">
        <f t="shared" si="24"/>
        <v>0.31</v>
      </c>
      <c r="K137" s="1308">
        <v>4</v>
      </c>
      <c r="L137" s="1308">
        <v>8</v>
      </c>
      <c r="M137" s="1308">
        <f t="shared" si="25"/>
        <v>386</v>
      </c>
      <c r="N137" s="1308">
        <v>0</v>
      </c>
      <c r="O137" s="1312">
        <v>15</v>
      </c>
      <c r="P137" s="1312">
        <v>30</v>
      </c>
      <c r="Q137" s="1312">
        <v>3</v>
      </c>
      <c r="R137" s="1307">
        <v>0</v>
      </c>
      <c r="S137" s="1304">
        <v>81</v>
      </c>
      <c r="T137" s="1305">
        <v>1.5</v>
      </c>
      <c r="U137" s="1305">
        <v>16</v>
      </c>
      <c r="V137" s="1305">
        <v>0.1</v>
      </c>
      <c r="W137" s="1305">
        <v>2.2000000000000002</v>
      </c>
      <c r="X137" s="1313">
        <v>24</v>
      </c>
      <c r="Y137" s="1359" t="s">
        <v>369</v>
      </c>
      <c r="Z137" s="1397"/>
      <c r="AA137" s="485" t="str">
        <f t="shared" si="26"/>
        <v/>
      </c>
      <c r="AB137" s="482">
        <f t="shared" si="27"/>
        <v>3</v>
      </c>
      <c r="AC137" s="482">
        <f t="shared" ref="AC137:AC172" si="31">IF(N137=0,0.0001,N137)</f>
        <v>1E-4</v>
      </c>
      <c r="AD137" s="495">
        <v>0.1</v>
      </c>
      <c r="AE137" s="482">
        <f t="shared" si="28"/>
        <v>1.0000000000000001E-5</v>
      </c>
      <c r="AF137" s="482">
        <f t="shared" si="29"/>
        <v>15</v>
      </c>
      <c r="AG137" s="496">
        <f t="shared" si="30"/>
        <v>0.77</v>
      </c>
    </row>
    <row r="138" spans="1:35" s="450" customFormat="1" ht="17.25" customHeight="1" x14ac:dyDescent="0.2">
      <c r="A138" s="483"/>
      <c r="B138" s="1331" t="s">
        <v>231</v>
      </c>
      <c r="C138" s="1304">
        <v>940</v>
      </c>
      <c r="D138" s="1305">
        <f>7/0.94</f>
        <v>7.4468085106382986</v>
      </c>
      <c r="E138" s="1305">
        <f>D138/0.6</f>
        <v>12.411347517730498</v>
      </c>
      <c r="F138" s="1306">
        <f>312/0.94</f>
        <v>331.91489361702128</v>
      </c>
      <c r="G138" s="1333">
        <v>0.4</v>
      </c>
      <c r="H138" s="1308">
        <f>ROUND((11.93-(6.82*G138))*E138+1.03*G138*F138,0)</f>
        <v>251</v>
      </c>
      <c r="I138" s="1309" t="str">
        <f>IF((F138-H138)/6.25&lt;0,ROUND((F138-H138)/6.25,0),"+"&amp;ROUND(((F138-H138)/6.25),0))</f>
        <v>+13</v>
      </c>
      <c r="J138" s="1310">
        <f>ROUND(0.321+0.00098*AB138+0.00025*AE138-(0.00112*(AF138+AG138*(AC138-AE138))),2)</f>
        <v>0.39</v>
      </c>
      <c r="K138" s="1308">
        <f>175/0.94</f>
        <v>186.17021276595744</v>
      </c>
      <c r="L138" s="1308">
        <f>306/0.94</f>
        <v>325.53191489361706</v>
      </c>
      <c r="M138" s="1308">
        <f t="shared" si="25"/>
        <v>215.95744680851055</v>
      </c>
      <c r="N138" s="1308">
        <v>0</v>
      </c>
      <c r="O138" s="1312">
        <v>0</v>
      </c>
      <c r="P138" s="1308">
        <f>62/0.94</f>
        <v>65.957446808510639</v>
      </c>
      <c r="Q138" s="1308">
        <f>70/0.94</f>
        <v>74.468085106382986</v>
      </c>
      <c r="R138" s="1307">
        <v>0</v>
      </c>
      <c r="S138" s="1314">
        <f>57/0.94</f>
        <v>60.638297872340431</v>
      </c>
      <c r="T138" s="1305">
        <f>0.8/0.94</f>
        <v>0.85106382978723416</v>
      </c>
      <c r="U138" s="1305">
        <f>8.2/0.94</f>
        <v>8.7234042553191493</v>
      </c>
      <c r="V138" s="1305">
        <f>4.71/0.94</f>
        <v>5.0106382978723403</v>
      </c>
      <c r="W138" s="1305">
        <f>2.8/0.94</f>
        <v>2.978723404255319</v>
      </c>
      <c r="X138" s="1313">
        <f>14.1/0.94</f>
        <v>15</v>
      </c>
      <c r="Y138" s="1359" t="s">
        <v>369</v>
      </c>
      <c r="Z138" s="1397"/>
      <c r="AA138" s="485"/>
      <c r="AB138" s="482">
        <f>+Q138</f>
        <v>74.468085106382986</v>
      </c>
      <c r="AC138" s="482">
        <f>IF(N138=0,0.0001,N138)</f>
        <v>1E-4</v>
      </c>
      <c r="AD138" s="495">
        <v>0.1</v>
      </c>
      <c r="AE138" s="482">
        <f>+AC138*AD138</f>
        <v>1.0000000000000001E-5</v>
      </c>
      <c r="AF138" s="482">
        <f>+O138</f>
        <v>0</v>
      </c>
      <c r="AG138" s="496">
        <f>0.9-1.3*AD138</f>
        <v>0.77</v>
      </c>
    </row>
    <row r="139" spans="1:35" s="450" customFormat="1" ht="17.25" customHeight="1" x14ac:dyDescent="0.2">
      <c r="A139" s="483"/>
      <c r="B139" s="1303" t="s">
        <v>93</v>
      </c>
      <c r="C139" s="1304">
        <v>880</v>
      </c>
      <c r="D139" s="1305">
        <v>8.52</v>
      </c>
      <c r="E139" s="1305">
        <v>13.44</v>
      </c>
      <c r="F139" s="1306">
        <v>235</v>
      </c>
      <c r="G139" s="1307">
        <v>0.15</v>
      </c>
      <c r="H139" s="1308">
        <f>ROUND((11.93-(6.82*G139))*E139+1.03*G139*F139,0)</f>
        <v>183</v>
      </c>
      <c r="I139" s="1309" t="str">
        <f>IF((F139-H139)/6.25&lt;0,ROUND((F139-H139)/6.25,0),"+"&amp;ROUND(((F139-H139)/6.25),0))</f>
        <v>+8</v>
      </c>
      <c r="J139" s="1310">
        <f t="shared" si="24"/>
        <v>-0.04</v>
      </c>
      <c r="K139" s="1308">
        <f>1.5*Q139</f>
        <v>97.5</v>
      </c>
      <c r="L139" s="1308">
        <f>3.1*Q139</f>
        <v>201.5</v>
      </c>
      <c r="M139" s="1308">
        <f t="shared" si="25"/>
        <v>514.5</v>
      </c>
      <c r="N139" s="1308">
        <v>480</v>
      </c>
      <c r="O139" s="1312">
        <v>60</v>
      </c>
      <c r="P139" s="1312">
        <v>15</v>
      </c>
      <c r="Q139" s="1312">
        <v>65</v>
      </c>
      <c r="R139" s="1307">
        <v>0</v>
      </c>
      <c r="S139" s="1304">
        <v>34</v>
      </c>
      <c r="T139" s="1305">
        <v>0.9</v>
      </c>
      <c r="U139" s="1305">
        <v>4.8</v>
      </c>
      <c r="V139" s="1305">
        <v>0.3</v>
      </c>
      <c r="W139" s="1305">
        <v>1.3</v>
      </c>
      <c r="X139" s="1313">
        <v>11</v>
      </c>
      <c r="Y139" s="1359" t="s">
        <v>369</v>
      </c>
      <c r="Z139" s="1397"/>
      <c r="AA139" s="485" t="str">
        <f t="shared" si="26"/>
        <v/>
      </c>
      <c r="AB139" s="482">
        <f t="shared" si="27"/>
        <v>65</v>
      </c>
      <c r="AC139" s="482">
        <f t="shared" si="31"/>
        <v>480</v>
      </c>
      <c r="AD139" s="495">
        <v>0.1</v>
      </c>
      <c r="AE139" s="482">
        <f t="shared" si="28"/>
        <v>48</v>
      </c>
      <c r="AF139" s="482">
        <f t="shared" si="29"/>
        <v>60</v>
      </c>
      <c r="AG139" s="496">
        <f t="shared" si="30"/>
        <v>0.77</v>
      </c>
    </row>
    <row r="140" spans="1:35" s="450" customFormat="1" ht="17.25" customHeight="1" x14ac:dyDescent="0.2">
      <c r="A140" s="483"/>
      <c r="B140" s="1303" t="s">
        <v>132</v>
      </c>
      <c r="C140" s="1304">
        <v>890</v>
      </c>
      <c r="D140" s="1305">
        <v>8.6</v>
      </c>
      <c r="E140" s="1305">
        <v>13.8</v>
      </c>
      <c r="F140" s="1306">
        <v>570</v>
      </c>
      <c r="G140" s="1307">
        <v>0.3</v>
      </c>
      <c r="H140" s="1308">
        <f t="shared" ref="H140:H172" si="32">ROUND((11.93-(6.82*G140))*E140+1.03*G140*F140,0)</f>
        <v>313</v>
      </c>
      <c r="I140" s="1309" t="str">
        <f t="shared" ref="I140:I172" si="33">IF((F140-H140)/6.25&lt;0,ROUND((F140-H140)/6.25,0),"+"&amp;ROUND(((F140-H140)/6.25),0))</f>
        <v>+41</v>
      </c>
      <c r="J140" s="1310">
        <f t="shared" si="24"/>
        <v>0.26</v>
      </c>
      <c r="K140" s="1308">
        <f>Q140*1.25</f>
        <v>75</v>
      </c>
      <c r="L140" s="1308">
        <f>2.1*Q140</f>
        <v>126</v>
      </c>
      <c r="M140" s="1308">
        <f t="shared" si="25"/>
        <v>224</v>
      </c>
      <c r="N140" s="1308">
        <v>100</v>
      </c>
      <c r="O140" s="1312">
        <v>115</v>
      </c>
      <c r="P140" s="1312">
        <v>15</v>
      </c>
      <c r="Q140" s="1312">
        <v>60</v>
      </c>
      <c r="R140" s="1307">
        <v>0</v>
      </c>
      <c r="S140" s="1304">
        <v>65</v>
      </c>
      <c r="T140" s="1305">
        <f>1.4/0.92</f>
        <v>1.5217391304347825</v>
      </c>
      <c r="U140" s="1305">
        <f>5.9/0.92</f>
        <v>6.4130434782608701</v>
      </c>
      <c r="V140" s="1305">
        <f>0.4/0.92</f>
        <v>0.43478260869565216</v>
      </c>
      <c r="W140" s="1305">
        <f>3.3/0.92</f>
        <v>3.5869565217391299</v>
      </c>
      <c r="X140" s="1313">
        <f>11.4/0.92</f>
        <v>12.391304347826086</v>
      </c>
      <c r="Y140" s="1359" t="s">
        <v>369</v>
      </c>
      <c r="Z140" s="1397"/>
      <c r="AA140" s="485" t="str">
        <f t="shared" si="26"/>
        <v/>
      </c>
      <c r="AB140" s="482">
        <f t="shared" si="27"/>
        <v>60</v>
      </c>
      <c r="AC140" s="482">
        <f t="shared" si="31"/>
        <v>100</v>
      </c>
      <c r="AD140" s="495">
        <v>1.25</v>
      </c>
      <c r="AE140" s="482">
        <f t="shared" si="28"/>
        <v>125</v>
      </c>
      <c r="AF140" s="482">
        <f t="shared" si="29"/>
        <v>115</v>
      </c>
      <c r="AG140" s="496">
        <f t="shared" si="30"/>
        <v>-0.72499999999999998</v>
      </c>
    </row>
    <row r="141" spans="1:35" s="450" customFormat="1" ht="17.25" customHeight="1" x14ac:dyDescent="0.2">
      <c r="A141" s="483"/>
      <c r="B141" s="1303" t="s">
        <v>94</v>
      </c>
      <c r="C141" s="1304">
        <v>880</v>
      </c>
      <c r="D141" s="1305">
        <v>7.9</v>
      </c>
      <c r="E141" s="1305">
        <f>D141/0.63</f>
        <v>12.53968253968254</v>
      </c>
      <c r="F141" s="1306">
        <v>100</v>
      </c>
      <c r="G141" s="1307">
        <v>0.25</v>
      </c>
      <c r="H141" s="1308">
        <f t="shared" si="32"/>
        <v>154</v>
      </c>
      <c r="I141" s="1309">
        <f t="shared" si="33"/>
        <v>-9</v>
      </c>
      <c r="J141" s="1310">
        <f t="shared" si="24"/>
        <v>-0.08</v>
      </c>
      <c r="K141" s="1308">
        <v>85</v>
      </c>
      <c r="L141" s="1308">
        <v>225</v>
      </c>
      <c r="M141" s="1308">
        <f t="shared" si="25"/>
        <v>618</v>
      </c>
      <c r="N141" s="1308">
        <v>605</v>
      </c>
      <c r="O141" s="1312">
        <v>20</v>
      </c>
      <c r="P141" s="1312">
        <v>25</v>
      </c>
      <c r="Q141" s="1312">
        <v>80</v>
      </c>
      <c r="R141" s="1307">
        <v>0</v>
      </c>
      <c r="S141" s="1304">
        <v>32</v>
      </c>
      <c r="T141" s="1305">
        <v>1.2</v>
      </c>
      <c r="U141" s="1305">
        <v>4.9000000000000004</v>
      </c>
      <c r="V141" s="1305">
        <v>0.1</v>
      </c>
      <c r="W141" s="1305">
        <v>1.1000000000000001</v>
      </c>
      <c r="X141" s="1313">
        <v>8.4</v>
      </c>
      <c r="Y141" s="1359" t="s">
        <v>369</v>
      </c>
      <c r="Z141" s="1397"/>
      <c r="AA141" s="485" t="str">
        <f t="shared" si="26"/>
        <v/>
      </c>
      <c r="AB141" s="482">
        <f t="shared" si="27"/>
        <v>80</v>
      </c>
      <c r="AC141" s="482">
        <f t="shared" si="31"/>
        <v>605</v>
      </c>
      <c r="AD141" s="495">
        <v>0.1</v>
      </c>
      <c r="AE141" s="482">
        <f t="shared" si="28"/>
        <v>60.5</v>
      </c>
      <c r="AF141" s="482">
        <f t="shared" si="29"/>
        <v>20</v>
      </c>
      <c r="AG141" s="496">
        <f t="shared" si="30"/>
        <v>0.77</v>
      </c>
    </row>
    <row r="142" spans="1:35" s="450" customFormat="1" ht="17.25" customHeight="1" x14ac:dyDescent="0.2">
      <c r="A142" s="483"/>
      <c r="B142" s="1303" t="s">
        <v>205</v>
      </c>
      <c r="C142" s="1304">
        <v>890</v>
      </c>
      <c r="D142" s="1305">
        <v>6.58</v>
      </c>
      <c r="E142" s="1305">
        <v>10.84</v>
      </c>
      <c r="F142" s="1306">
        <v>185</v>
      </c>
      <c r="G142" s="1307">
        <v>0.4</v>
      </c>
      <c r="H142" s="1308">
        <f t="shared" si="32"/>
        <v>176</v>
      </c>
      <c r="I142" s="1309" t="str">
        <f t="shared" si="33"/>
        <v>+1</v>
      </c>
      <c r="J142" s="1310">
        <f t="shared" si="24"/>
        <v>0.41</v>
      </c>
      <c r="K142" s="1308">
        <f>1.2*Q142</f>
        <v>240</v>
      </c>
      <c r="L142" s="1308">
        <f>1.8*Q142</f>
        <v>360</v>
      </c>
      <c r="M142" s="1308">
        <f t="shared" si="25"/>
        <v>309</v>
      </c>
      <c r="N142" s="1308">
        <v>0</v>
      </c>
      <c r="O142" s="1312">
        <v>100</v>
      </c>
      <c r="P142" s="1312">
        <v>35</v>
      </c>
      <c r="Q142" s="1312">
        <v>200</v>
      </c>
      <c r="R142" s="1307">
        <v>0</v>
      </c>
      <c r="S142" s="1304">
        <v>111</v>
      </c>
      <c r="T142" s="1305">
        <v>10</v>
      </c>
      <c r="U142" s="1305">
        <v>4</v>
      </c>
      <c r="V142" s="1305">
        <v>0.8</v>
      </c>
      <c r="W142" s="1305">
        <v>3.6</v>
      </c>
      <c r="X142" s="1313">
        <v>25</v>
      </c>
      <c r="Y142" s="1359" t="s">
        <v>369</v>
      </c>
      <c r="Z142" s="1397"/>
      <c r="AA142" s="485" t="str">
        <f t="shared" si="26"/>
        <v/>
      </c>
      <c r="AB142" s="482">
        <f t="shared" si="27"/>
        <v>200</v>
      </c>
      <c r="AC142" s="482">
        <f t="shared" si="31"/>
        <v>1E-4</v>
      </c>
      <c r="AD142" s="495">
        <v>1</v>
      </c>
      <c r="AE142" s="482">
        <f t="shared" si="28"/>
        <v>1E-4</v>
      </c>
      <c r="AF142" s="482">
        <f t="shared" si="29"/>
        <v>100</v>
      </c>
      <c r="AG142" s="496">
        <f t="shared" si="30"/>
        <v>-0.4</v>
      </c>
    </row>
    <row r="143" spans="1:35" s="450" customFormat="1" ht="17.25" customHeight="1" x14ac:dyDescent="0.2">
      <c r="A143" s="483"/>
      <c r="B143" s="1303" t="s">
        <v>206</v>
      </c>
      <c r="C143" s="1304">
        <v>890</v>
      </c>
      <c r="D143" s="1305">
        <v>5.9</v>
      </c>
      <c r="E143" s="1305">
        <v>9.8000000000000007</v>
      </c>
      <c r="F143" s="1306">
        <v>200</v>
      </c>
      <c r="G143" s="1307">
        <v>0.4</v>
      </c>
      <c r="H143" s="1308">
        <f t="shared" si="32"/>
        <v>173</v>
      </c>
      <c r="I143" s="1309" t="str">
        <f t="shared" si="33"/>
        <v>+4</v>
      </c>
      <c r="J143" s="1310">
        <f t="shared" si="24"/>
        <v>0.41</v>
      </c>
      <c r="K143" s="1308">
        <f>1.2*Q143</f>
        <v>246</v>
      </c>
      <c r="L143" s="1308">
        <f>1.8*Q143</f>
        <v>369</v>
      </c>
      <c r="M143" s="1308">
        <f t="shared" si="25"/>
        <v>298</v>
      </c>
      <c r="N143" s="1308">
        <v>0</v>
      </c>
      <c r="O143" s="1312">
        <v>100</v>
      </c>
      <c r="P143" s="1312">
        <v>35</v>
      </c>
      <c r="Q143" s="1312">
        <v>205</v>
      </c>
      <c r="R143" s="1307">
        <v>0</v>
      </c>
      <c r="S143" s="1304">
        <v>98</v>
      </c>
      <c r="T143" s="1305">
        <v>10</v>
      </c>
      <c r="U143" s="1305">
        <v>4</v>
      </c>
      <c r="V143" s="1305">
        <v>0.8</v>
      </c>
      <c r="W143" s="1305">
        <v>3.6</v>
      </c>
      <c r="X143" s="1313">
        <v>25</v>
      </c>
      <c r="Y143" s="1359" t="s">
        <v>369</v>
      </c>
      <c r="Z143" s="1397"/>
      <c r="AA143" s="485" t="str">
        <f t="shared" si="26"/>
        <v/>
      </c>
      <c r="AB143" s="482">
        <f t="shared" si="27"/>
        <v>205</v>
      </c>
      <c r="AC143" s="482">
        <f t="shared" si="31"/>
        <v>1E-4</v>
      </c>
      <c r="AD143" s="495">
        <v>1</v>
      </c>
      <c r="AE143" s="482">
        <f>+AC143*AD143</f>
        <v>1E-4</v>
      </c>
      <c r="AF143" s="482">
        <f t="shared" si="29"/>
        <v>100</v>
      </c>
      <c r="AG143" s="496">
        <f>0.9-1.3*AD143</f>
        <v>-0.4</v>
      </c>
    </row>
    <row r="144" spans="1:35" s="450" customFormat="1" ht="17.25" customHeight="1" x14ac:dyDescent="0.2">
      <c r="A144" s="483"/>
      <c r="B144" s="1303" t="s">
        <v>207</v>
      </c>
      <c r="C144" s="1304">
        <v>890</v>
      </c>
      <c r="D144" s="1305">
        <v>5.88</v>
      </c>
      <c r="E144" s="1305">
        <v>9.84</v>
      </c>
      <c r="F144" s="1306">
        <v>210</v>
      </c>
      <c r="G144" s="1307">
        <v>0.4</v>
      </c>
      <c r="H144" s="1308">
        <f t="shared" si="32"/>
        <v>177</v>
      </c>
      <c r="I144" s="1309" t="str">
        <f t="shared" si="33"/>
        <v>+5</v>
      </c>
      <c r="J144" s="1310">
        <f t="shared" si="24"/>
        <v>0.45</v>
      </c>
      <c r="K144" s="1308">
        <f>1.1*Q144</f>
        <v>203.50000000000003</v>
      </c>
      <c r="L144" s="1308">
        <f>1.5*Q144</f>
        <v>277.5</v>
      </c>
      <c r="M144" s="1308">
        <f t="shared" si="25"/>
        <v>364.5</v>
      </c>
      <c r="N144" s="1308">
        <v>0</v>
      </c>
      <c r="O144" s="1312">
        <v>50</v>
      </c>
      <c r="P144" s="1312">
        <v>30</v>
      </c>
      <c r="Q144" s="1312">
        <v>185</v>
      </c>
      <c r="R144" s="1307">
        <v>0</v>
      </c>
      <c r="S144" s="1304">
        <v>118</v>
      </c>
      <c r="T144" s="1305">
        <v>18</v>
      </c>
      <c r="U144" s="1305">
        <v>3.8</v>
      </c>
      <c r="V144" s="1305">
        <v>0.5</v>
      </c>
      <c r="W144" s="1305">
        <v>3</v>
      </c>
      <c r="X144" s="1313">
        <v>27</v>
      </c>
      <c r="Y144" s="1359" t="s">
        <v>369</v>
      </c>
      <c r="Z144" s="1397"/>
      <c r="AA144" s="485" t="str">
        <f t="shared" si="26"/>
        <v/>
      </c>
      <c r="AB144" s="482">
        <f t="shared" si="27"/>
        <v>185</v>
      </c>
      <c r="AC144" s="482">
        <f t="shared" si="31"/>
        <v>1E-4</v>
      </c>
      <c r="AD144" s="495">
        <v>1</v>
      </c>
      <c r="AE144" s="482">
        <f t="shared" si="28"/>
        <v>1E-4</v>
      </c>
      <c r="AF144" s="482">
        <f t="shared" si="29"/>
        <v>50</v>
      </c>
      <c r="AG144" s="496">
        <f t="shared" si="30"/>
        <v>-0.4</v>
      </c>
    </row>
    <row r="145" spans="1:33" s="450" customFormat="1" ht="17.25" customHeight="1" x14ac:dyDescent="0.2">
      <c r="A145" s="483"/>
      <c r="B145" s="1303" t="s">
        <v>95</v>
      </c>
      <c r="C145" s="1304">
        <v>880</v>
      </c>
      <c r="D145" s="1305">
        <v>6.97</v>
      </c>
      <c r="E145" s="1305">
        <v>11.53</v>
      </c>
      <c r="F145" s="1306">
        <v>123</v>
      </c>
      <c r="G145" s="1307">
        <v>0.15</v>
      </c>
      <c r="H145" s="1308">
        <f t="shared" si="32"/>
        <v>145</v>
      </c>
      <c r="I145" s="1309">
        <f t="shared" si="33"/>
        <v>-4</v>
      </c>
      <c r="J145" s="1310">
        <f t="shared" si="24"/>
        <v>0.13</v>
      </c>
      <c r="K145" s="1308">
        <f>1.4*Q145</f>
        <v>154</v>
      </c>
      <c r="L145" s="1308">
        <f>2.8*Q145</f>
        <v>308</v>
      </c>
      <c r="M145" s="1308">
        <f t="shared" si="25"/>
        <v>486</v>
      </c>
      <c r="N145" s="1308">
        <v>450</v>
      </c>
      <c r="O145" s="1312">
        <v>15</v>
      </c>
      <c r="P145" s="1312">
        <v>50</v>
      </c>
      <c r="Q145" s="1312">
        <v>110</v>
      </c>
      <c r="R145" s="1307">
        <v>0</v>
      </c>
      <c r="S145" s="1304">
        <v>33</v>
      </c>
      <c r="T145" s="1305">
        <v>1.2</v>
      </c>
      <c r="U145" s="1305">
        <v>3.6</v>
      </c>
      <c r="V145" s="1305">
        <v>0.4</v>
      </c>
      <c r="W145" s="1305">
        <f>1.136*1.1</f>
        <v>1.2496</v>
      </c>
      <c r="X145" s="1313">
        <f>4.4/0.88</f>
        <v>5</v>
      </c>
      <c r="Y145" s="1359" t="s">
        <v>369</v>
      </c>
      <c r="Z145" s="1397"/>
      <c r="AA145" s="485" t="str">
        <f t="shared" si="26"/>
        <v/>
      </c>
      <c r="AB145" s="482">
        <f t="shared" si="27"/>
        <v>110</v>
      </c>
      <c r="AC145" s="482">
        <f t="shared" si="31"/>
        <v>450</v>
      </c>
      <c r="AD145" s="495">
        <v>0.15</v>
      </c>
      <c r="AE145" s="482">
        <f t="shared" si="28"/>
        <v>67.5</v>
      </c>
      <c r="AF145" s="482">
        <f t="shared" si="29"/>
        <v>15</v>
      </c>
      <c r="AG145" s="496">
        <f t="shared" si="30"/>
        <v>0.70500000000000007</v>
      </c>
    </row>
    <row r="146" spans="1:33" s="450" customFormat="1" ht="17.25" customHeight="1" x14ac:dyDescent="0.2">
      <c r="A146" s="483"/>
      <c r="B146" s="1303" t="s">
        <v>126</v>
      </c>
      <c r="C146" s="1304">
        <v>910</v>
      </c>
      <c r="D146" s="1305">
        <v>4</v>
      </c>
      <c r="E146" s="1305">
        <f>D146/0.6</f>
        <v>6.666666666666667</v>
      </c>
      <c r="F146" s="1306">
        <v>90</v>
      </c>
      <c r="G146" s="1307">
        <v>0.15</v>
      </c>
      <c r="H146" s="1308">
        <f t="shared" si="32"/>
        <v>87</v>
      </c>
      <c r="I146" s="1309" t="str">
        <f t="shared" si="33"/>
        <v>+0</v>
      </c>
      <c r="J146" s="1310">
        <f t="shared" si="24"/>
        <v>0.42</v>
      </c>
      <c r="K146" s="1308">
        <f>1.2*Q146</f>
        <v>264</v>
      </c>
      <c r="L146" s="1308">
        <f>2.3*Q146</f>
        <v>505.99999999999994</v>
      </c>
      <c r="M146" s="1308">
        <f t="shared" si="25"/>
        <v>331.00000000000006</v>
      </c>
      <c r="N146" s="1308">
        <v>170</v>
      </c>
      <c r="O146" s="1312">
        <v>10</v>
      </c>
      <c r="P146" s="1312">
        <v>30</v>
      </c>
      <c r="Q146" s="1312">
        <v>220</v>
      </c>
      <c r="R146" s="1307">
        <v>0</v>
      </c>
      <c r="S146" s="1304">
        <v>43</v>
      </c>
      <c r="T146" s="1305">
        <v>1.1000000000000001</v>
      </c>
      <c r="U146" s="1305">
        <v>3</v>
      </c>
      <c r="V146" s="1305">
        <v>0.1</v>
      </c>
      <c r="W146" s="1305">
        <v>1.1000000000000001</v>
      </c>
      <c r="X146" s="1313">
        <v>5.0999999999999996</v>
      </c>
      <c r="Y146" s="1359" t="s">
        <v>369</v>
      </c>
      <c r="Z146" s="1397"/>
      <c r="AA146" s="485" t="str">
        <f t="shared" si="26"/>
        <v/>
      </c>
      <c r="AB146" s="482">
        <f t="shared" si="27"/>
        <v>220</v>
      </c>
      <c r="AC146" s="482">
        <f t="shared" si="31"/>
        <v>170</v>
      </c>
      <c r="AD146" s="495">
        <v>0.15</v>
      </c>
      <c r="AE146" s="482">
        <f t="shared" si="28"/>
        <v>25.5</v>
      </c>
      <c r="AF146" s="482">
        <f t="shared" si="29"/>
        <v>10</v>
      </c>
      <c r="AG146" s="496">
        <f t="shared" si="30"/>
        <v>0.70500000000000007</v>
      </c>
    </row>
    <row r="147" spans="1:33" s="450" customFormat="1" ht="17.25" customHeight="1" x14ac:dyDescent="0.2">
      <c r="A147" s="483"/>
      <c r="B147" s="1303" t="s">
        <v>133</v>
      </c>
      <c r="C147" s="1304">
        <v>900</v>
      </c>
      <c r="D147" s="1305">
        <v>6.7</v>
      </c>
      <c r="E147" s="1305">
        <f>D147/0.6</f>
        <v>11.166666666666668</v>
      </c>
      <c r="F147" s="1306">
        <v>235</v>
      </c>
      <c r="G147" s="1307">
        <v>0.5</v>
      </c>
      <c r="H147" s="1308">
        <f>ROUND((11.93-(6.82*G147))*E147+1.03*G147*F147,0)</f>
        <v>216</v>
      </c>
      <c r="I147" s="1309" t="str">
        <f>IF((F147-H147)/6.25&lt;0,ROUND((F147-H147)/6.25,0),"+"&amp;ROUND(((F147-H147)/6.25),0))</f>
        <v>+3</v>
      </c>
      <c r="J147" s="1310">
        <f t="shared" si="24"/>
        <v>0.35</v>
      </c>
      <c r="K147" s="1308">
        <v>350</v>
      </c>
      <c r="L147" s="1308">
        <v>665</v>
      </c>
      <c r="M147" s="1308">
        <f t="shared" si="25"/>
        <v>0</v>
      </c>
      <c r="N147" s="1308">
        <v>0</v>
      </c>
      <c r="O147" s="1312">
        <v>120</v>
      </c>
      <c r="P147" s="1312">
        <v>25</v>
      </c>
      <c r="Q147" s="1312">
        <v>170</v>
      </c>
      <c r="R147" s="1307">
        <v>0</v>
      </c>
      <c r="S147" s="1304">
        <v>75</v>
      </c>
      <c r="T147" s="1305">
        <v>1.8</v>
      </c>
      <c r="U147" s="1305">
        <f>5.9/0.9</f>
        <v>6.5555555555555554</v>
      </c>
      <c r="V147" s="1305">
        <f>0.85/0.9</f>
        <v>0.94444444444444442</v>
      </c>
      <c r="W147" s="1305">
        <v>3.9</v>
      </c>
      <c r="X147" s="1313">
        <v>18</v>
      </c>
      <c r="Y147" s="1359" t="s">
        <v>369</v>
      </c>
      <c r="Z147" s="1397"/>
      <c r="AA147" s="485" t="str">
        <f t="shared" si="26"/>
        <v/>
      </c>
      <c r="AB147" s="482">
        <f t="shared" si="27"/>
        <v>170</v>
      </c>
      <c r="AC147" s="482">
        <f t="shared" si="31"/>
        <v>1E-4</v>
      </c>
      <c r="AD147" s="495">
        <v>1</v>
      </c>
      <c r="AE147" s="482">
        <f>+AC147*AD147</f>
        <v>1E-4</v>
      </c>
      <c r="AF147" s="482">
        <f t="shared" si="29"/>
        <v>120</v>
      </c>
      <c r="AG147" s="496">
        <f>0.9-1.3*AD147</f>
        <v>-0.4</v>
      </c>
    </row>
    <row r="148" spans="1:33" s="450" customFormat="1" ht="17.25" customHeight="1" x14ac:dyDescent="0.2">
      <c r="A148" s="483"/>
      <c r="B148" s="1303" t="s">
        <v>211</v>
      </c>
      <c r="C148" s="1304">
        <v>890</v>
      </c>
      <c r="D148" s="1305">
        <v>7.3</v>
      </c>
      <c r="E148" s="1305">
        <v>12</v>
      </c>
      <c r="F148" s="1306">
        <v>385</v>
      </c>
      <c r="G148" s="1307">
        <v>0.3</v>
      </c>
      <c r="H148" s="1308">
        <f t="shared" si="32"/>
        <v>238</v>
      </c>
      <c r="I148" s="1309" t="str">
        <f t="shared" si="33"/>
        <v>+24</v>
      </c>
      <c r="J148" s="1310">
        <f t="shared" si="24"/>
        <v>0.35</v>
      </c>
      <c r="K148" s="1308">
        <v>185</v>
      </c>
      <c r="L148" s="1308">
        <v>310</v>
      </c>
      <c r="M148" s="1308">
        <f t="shared" si="25"/>
        <v>199</v>
      </c>
      <c r="N148" s="1308">
        <v>0</v>
      </c>
      <c r="O148" s="1312">
        <v>65</v>
      </c>
      <c r="P148" s="1312">
        <v>40</v>
      </c>
      <c r="Q148" s="1312">
        <v>105</v>
      </c>
      <c r="R148" s="1307">
        <v>0</v>
      </c>
      <c r="S148" s="1304">
        <v>66</v>
      </c>
      <c r="T148" s="1305">
        <v>4</v>
      </c>
      <c r="U148" s="1305">
        <v>9.6999999999999993</v>
      </c>
      <c r="V148" s="1305">
        <v>1</v>
      </c>
      <c r="W148" s="1305">
        <v>5.6</v>
      </c>
      <c r="X148" s="1313">
        <v>12</v>
      </c>
      <c r="Y148" s="1359" t="s">
        <v>369</v>
      </c>
      <c r="Z148" s="1397"/>
      <c r="AA148" s="485" t="str">
        <f t="shared" si="26"/>
        <v/>
      </c>
      <c r="AB148" s="482">
        <f t="shared" si="27"/>
        <v>105</v>
      </c>
      <c r="AC148" s="482">
        <f t="shared" si="31"/>
        <v>1E-4</v>
      </c>
      <c r="AD148" s="495">
        <v>1</v>
      </c>
      <c r="AE148" s="482">
        <f t="shared" si="28"/>
        <v>1E-4</v>
      </c>
      <c r="AF148" s="482">
        <f t="shared" si="29"/>
        <v>65</v>
      </c>
      <c r="AG148" s="496">
        <f t="shared" si="30"/>
        <v>-0.4</v>
      </c>
    </row>
    <row r="149" spans="1:33" s="450" customFormat="1" ht="17.25" customHeight="1" x14ac:dyDescent="0.2">
      <c r="A149" s="483"/>
      <c r="B149" s="1303" t="s">
        <v>209</v>
      </c>
      <c r="C149" s="1304">
        <v>880</v>
      </c>
      <c r="D149" s="1305">
        <v>9.24</v>
      </c>
      <c r="E149" s="1305">
        <v>14.73</v>
      </c>
      <c r="F149" s="1306">
        <v>376</v>
      </c>
      <c r="G149" s="1307">
        <v>0.2</v>
      </c>
      <c r="H149" s="1308">
        <f>ROUND((11.93-(6.82*G149))*E149+1.03*G149*F149,0)</f>
        <v>233</v>
      </c>
      <c r="I149" s="1309" t="str">
        <f>IF((F149-H149)/6.25&lt;0,ROUND((F149-H149)/6.25,0),"+"&amp;ROUND(((F149-H149)/6.25),0))</f>
        <v>+23</v>
      </c>
      <c r="J149" s="1310">
        <f>ROUND(0.321+0.00098*AB149+0.00025*AE149-(0.00112*(AF149+AG149*(AC149-AE149))),2)</f>
        <v>0.32</v>
      </c>
      <c r="K149" s="1308">
        <f>1.2*Q149</f>
        <v>162</v>
      </c>
      <c r="L149" s="1308">
        <f>1.7*Q149</f>
        <v>229.5</v>
      </c>
      <c r="M149" s="1308">
        <f>IF(AND(S149&lt;&gt;"",F149&lt;&gt;"",L149&lt;&gt;"",P149&lt;&gt;""),1000-F149-L149-P149-S149,"Fehler")</f>
        <v>269.5</v>
      </c>
      <c r="N149" s="1308">
        <v>73</v>
      </c>
      <c r="O149" s="1312">
        <v>74</v>
      </c>
      <c r="P149" s="1312">
        <v>90</v>
      </c>
      <c r="Q149" s="1312">
        <v>135</v>
      </c>
      <c r="R149" s="1307">
        <v>0</v>
      </c>
      <c r="S149" s="1304">
        <v>35</v>
      </c>
      <c r="T149" s="1305">
        <v>2.9</v>
      </c>
      <c r="U149" s="1305">
        <v>5.0999999999999996</v>
      </c>
      <c r="V149" s="1305">
        <v>0.6</v>
      </c>
      <c r="W149" s="1305">
        <v>2</v>
      </c>
      <c r="X149" s="1313">
        <v>10</v>
      </c>
      <c r="Y149" s="1359" t="s">
        <v>369</v>
      </c>
      <c r="Z149" s="1397"/>
      <c r="AA149" s="485" t="str">
        <f>IF(COUNTA(B149:Y149)&lt;21,"x","")</f>
        <v/>
      </c>
      <c r="AB149" s="482">
        <f>+Q149</f>
        <v>135</v>
      </c>
      <c r="AC149" s="482">
        <f>IF(N149=0,0.0001,N149)</f>
        <v>73</v>
      </c>
      <c r="AD149" s="495">
        <v>0.15</v>
      </c>
      <c r="AE149" s="482">
        <f>+AC149*AD149</f>
        <v>10.95</v>
      </c>
      <c r="AF149" s="482">
        <f>+O149</f>
        <v>74</v>
      </c>
      <c r="AG149" s="496">
        <f>0.9-1.3*AD149</f>
        <v>0.70500000000000007</v>
      </c>
    </row>
    <row r="150" spans="1:33" s="450" customFormat="1" ht="17.25" customHeight="1" x14ac:dyDescent="0.2">
      <c r="A150" s="483"/>
      <c r="B150" s="1334" t="s">
        <v>96</v>
      </c>
      <c r="C150" s="1335">
        <v>880</v>
      </c>
      <c r="D150" s="1336">
        <v>8.3800000000000008</v>
      </c>
      <c r="E150" s="1336">
        <v>13.28</v>
      </c>
      <c r="F150" s="1337">
        <v>102</v>
      </c>
      <c r="G150" s="1338">
        <v>0.5</v>
      </c>
      <c r="H150" s="1308">
        <f t="shared" si="32"/>
        <v>166</v>
      </c>
      <c r="I150" s="1309">
        <f t="shared" si="33"/>
        <v>-10</v>
      </c>
      <c r="J150" s="1310">
        <f t="shared" si="24"/>
        <v>0.22</v>
      </c>
      <c r="K150" s="1308">
        <f>1.1*Q150</f>
        <v>27.500000000000004</v>
      </c>
      <c r="L150" s="1339">
        <f>4.4*Q150</f>
        <v>110.00000000000001</v>
      </c>
      <c r="M150" s="1308">
        <f t="shared" si="25"/>
        <v>726</v>
      </c>
      <c r="N150" s="1308">
        <v>695</v>
      </c>
      <c r="O150" s="1312">
        <v>20</v>
      </c>
      <c r="P150" s="1312">
        <v>45</v>
      </c>
      <c r="Q150" s="1340">
        <v>25</v>
      </c>
      <c r="R150" s="1338">
        <v>0</v>
      </c>
      <c r="S150" s="1304">
        <v>17</v>
      </c>
      <c r="T150" s="1305">
        <v>0.4</v>
      </c>
      <c r="U150" s="1305">
        <v>3.5</v>
      </c>
      <c r="V150" s="1305">
        <v>0.2</v>
      </c>
      <c r="W150" s="1305">
        <v>1.3</v>
      </c>
      <c r="X150" s="1313">
        <v>4</v>
      </c>
      <c r="Y150" s="1359" t="s">
        <v>369</v>
      </c>
      <c r="Z150" s="1397"/>
      <c r="AA150" s="485" t="str">
        <f t="shared" si="26"/>
        <v/>
      </c>
      <c r="AB150" s="482">
        <f t="shared" si="27"/>
        <v>25</v>
      </c>
      <c r="AC150" s="482">
        <f t="shared" si="31"/>
        <v>695</v>
      </c>
      <c r="AD150" s="495">
        <v>0.4</v>
      </c>
      <c r="AE150" s="482">
        <f t="shared" si="28"/>
        <v>278</v>
      </c>
      <c r="AF150" s="482">
        <f t="shared" si="29"/>
        <v>20</v>
      </c>
      <c r="AG150" s="496">
        <f t="shared" si="30"/>
        <v>0.38</v>
      </c>
    </row>
    <row r="151" spans="1:33" s="450" customFormat="1" ht="17.25" customHeight="1" x14ac:dyDescent="0.2">
      <c r="A151" s="483"/>
      <c r="B151" s="1334" t="s">
        <v>233</v>
      </c>
      <c r="C151" s="1335">
        <v>890</v>
      </c>
      <c r="D151" s="1336">
        <f>8.6/0.89</f>
        <v>9.6629213483146064</v>
      </c>
      <c r="E151" s="1336">
        <f>D151/0.6</f>
        <v>16.104868913857679</v>
      </c>
      <c r="F151" s="1337">
        <f>126/0.89</f>
        <v>141.57303370786516</v>
      </c>
      <c r="G151" s="1338">
        <v>0.4</v>
      </c>
      <c r="H151" s="1308">
        <f>ROUND((11.93-(6.82*G151))*E151+1.03*G151*F151,0)</f>
        <v>207</v>
      </c>
      <c r="I151" s="1309">
        <f>IF((F151-H151)/6.25&lt;0,ROUND((F151-H151)/6.25,0),"+"&amp;ROUND(((F151-H151)/6.25),0))</f>
        <v>-10</v>
      </c>
      <c r="J151" s="1310">
        <f>ROUND(0.321+0.00098*AB151+0.00025*AE151-(0.00112*(AF151+AG151*(AC151-AE151))),2)</f>
        <v>0.21</v>
      </c>
      <c r="K151" s="1308">
        <f>93/0.89</f>
        <v>104.49438202247191</v>
      </c>
      <c r="L151" s="1339">
        <f>253/0.89</f>
        <v>284.2696629213483</v>
      </c>
      <c r="M151" s="1308">
        <f t="shared" si="25"/>
        <v>306.74157303370788</v>
      </c>
      <c r="N151" s="1308">
        <v>500</v>
      </c>
      <c r="O151" s="1312">
        <v>70</v>
      </c>
      <c r="P151" s="1308">
        <f>189/0.89</f>
        <v>212.35955056179776</v>
      </c>
      <c r="Q151" s="1339">
        <f>43/0.89</f>
        <v>48.31460674157303</v>
      </c>
      <c r="R151" s="1338">
        <v>0</v>
      </c>
      <c r="S151" s="1314">
        <f>49/0.89</f>
        <v>55.056179775280896</v>
      </c>
      <c r="T151" s="1305">
        <f>0.6/0.89</f>
        <v>0.6741573033707865</v>
      </c>
      <c r="U151" s="1305">
        <f>12.3/0.89</f>
        <v>13.820224719101125</v>
      </c>
      <c r="V151" s="1305">
        <f>0.03/0.89</f>
        <v>3.3707865168539325E-2</v>
      </c>
      <c r="W151" s="1305">
        <f>5/0.89</f>
        <v>5.6179775280898872</v>
      </c>
      <c r="X151" s="1313">
        <f>10.9/0.89</f>
        <v>12.247191011235955</v>
      </c>
      <c r="Y151" s="1359" t="s">
        <v>369</v>
      </c>
      <c r="Z151" s="1397"/>
      <c r="AA151" s="485"/>
      <c r="AB151" s="482">
        <f>+Q151</f>
        <v>48.31460674157303</v>
      </c>
      <c r="AC151" s="482">
        <f>IF(N151=0,0.0001,N151)</f>
        <v>500</v>
      </c>
      <c r="AD151" s="495">
        <v>0.4</v>
      </c>
      <c r="AE151" s="482">
        <f>+AC151*AD151</f>
        <v>200</v>
      </c>
      <c r="AF151" s="482">
        <f>+O151</f>
        <v>70</v>
      </c>
      <c r="AG151" s="496">
        <f>0.9-1.3*AD151</f>
        <v>0.38</v>
      </c>
    </row>
    <row r="152" spans="1:33" s="450" customFormat="1" ht="17.25" customHeight="1" x14ac:dyDescent="0.2">
      <c r="A152" s="483"/>
      <c r="B152" s="1334" t="s">
        <v>127</v>
      </c>
      <c r="C152" s="1335">
        <v>900</v>
      </c>
      <c r="D152" s="1336">
        <v>8.5</v>
      </c>
      <c r="E152" s="1336">
        <f>D152*0.63</f>
        <v>5.3550000000000004</v>
      </c>
      <c r="F152" s="1337">
        <v>600</v>
      </c>
      <c r="G152" s="1338">
        <v>0.7</v>
      </c>
      <c r="H152" s="1308">
        <f t="shared" si="32"/>
        <v>471</v>
      </c>
      <c r="I152" s="1309" t="str">
        <f t="shared" si="33"/>
        <v>+21</v>
      </c>
      <c r="J152" s="1310">
        <f t="shared" si="24"/>
        <v>0.23</v>
      </c>
      <c r="K152" s="1308">
        <v>90</v>
      </c>
      <c r="L152" s="1339">
        <v>320</v>
      </c>
      <c r="M152" s="1308">
        <f t="shared" si="25"/>
        <v>5</v>
      </c>
      <c r="N152" s="1308">
        <v>145</v>
      </c>
      <c r="O152" s="1312">
        <v>5</v>
      </c>
      <c r="P152" s="1312">
        <v>55</v>
      </c>
      <c r="Q152" s="1340">
        <v>10</v>
      </c>
      <c r="R152" s="1338">
        <v>0</v>
      </c>
      <c r="S152" s="1304">
        <v>20</v>
      </c>
      <c r="T152" s="1305">
        <v>0.8</v>
      </c>
      <c r="U152" s="1305">
        <v>4.5999999999999996</v>
      </c>
      <c r="V152" s="1305">
        <v>0.2</v>
      </c>
      <c r="W152" s="1305">
        <f>0.3/0.9</f>
        <v>0.33333333333333331</v>
      </c>
      <c r="X152" s="1313">
        <v>1</v>
      </c>
      <c r="Y152" s="1359" t="s">
        <v>369</v>
      </c>
      <c r="Z152" s="1397"/>
      <c r="AA152" s="485" t="str">
        <f t="shared" si="26"/>
        <v/>
      </c>
      <c r="AB152" s="482">
        <f t="shared" si="27"/>
        <v>10</v>
      </c>
      <c r="AC152" s="482">
        <f t="shared" si="31"/>
        <v>145</v>
      </c>
      <c r="AD152" s="495">
        <v>0.15</v>
      </c>
      <c r="AE152" s="482">
        <f t="shared" si="28"/>
        <v>21.75</v>
      </c>
      <c r="AF152" s="482">
        <f t="shared" si="29"/>
        <v>5</v>
      </c>
      <c r="AG152" s="496">
        <f t="shared" si="30"/>
        <v>0.70500000000000007</v>
      </c>
    </row>
    <row r="153" spans="1:33" s="450" customFormat="1" ht="17.25" customHeight="1" x14ac:dyDescent="0.2">
      <c r="A153" s="483"/>
      <c r="B153" s="1334" t="s">
        <v>122</v>
      </c>
      <c r="C153" s="1335">
        <v>890</v>
      </c>
      <c r="D153" s="1336">
        <v>7.69</v>
      </c>
      <c r="E153" s="1336">
        <v>12.43</v>
      </c>
      <c r="F153" s="1337">
        <v>260</v>
      </c>
      <c r="G153" s="1338">
        <v>0.25</v>
      </c>
      <c r="H153" s="1308">
        <f t="shared" si="32"/>
        <v>194</v>
      </c>
      <c r="I153" s="1309" t="str">
        <f t="shared" si="33"/>
        <v>+11</v>
      </c>
      <c r="J153" s="1310">
        <f t="shared" si="24"/>
        <v>0.26</v>
      </c>
      <c r="K153" s="1308">
        <f>1.3*Q153</f>
        <v>117</v>
      </c>
      <c r="L153" s="1339">
        <f>2.8*Q153</f>
        <v>251.99999999999997</v>
      </c>
      <c r="M153" s="1308">
        <f t="shared" si="25"/>
        <v>388</v>
      </c>
      <c r="N153" s="1308">
        <v>205</v>
      </c>
      <c r="O153" s="1312">
        <v>20</v>
      </c>
      <c r="P153" s="1312">
        <v>40</v>
      </c>
      <c r="Q153" s="1340">
        <v>90</v>
      </c>
      <c r="R153" s="1338">
        <v>0</v>
      </c>
      <c r="S153" s="1304">
        <v>60</v>
      </c>
      <c r="T153" s="1305">
        <v>1.5</v>
      </c>
      <c r="U153" s="1305">
        <v>9.5</v>
      </c>
      <c r="V153" s="1305">
        <v>2.8</v>
      </c>
      <c r="W153" s="1305">
        <v>4.8</v>
      </c>
      <c r="X153" s="1313">
        <v>14</v>
      </c>
      <c r="Y153" s="1359" t="s">
        <v>369</v>
      </c>
      <c r="Z153" s="1397"/>
      <c r="AA153" s="485" t="str">
        <f t="shared" si="26"/>
        <v/>
      </c>
      <c r="AB153" s="482">
        <f t="shared" si="27"/>
        <v>90</v>
      </c>
      <c r="AC153" s="482">
        <f t="shared" si="31"/>
        <v>205</v>
      </c>
      <c r="AD153" s="495">
        <v>0.15</v>
      </c>
      <c r="AE153" s="482">
        <f t="shared" si="28"/>
        <v>30.75</v>
      </c>
      <c r="AF153" s="482">
        <f t="shared" si="29"/>
        <v>20</v>
      </c>
      <c r="AG153" s="496">
        <f t="shared" si="30"/>
        <v>0.70500000000000007</v>
      </c>
    </row>
    <row r="154" spans="1:33" s="450" customFormat="1" ht="17.25" customHeight="1" x14ac:dyDescent="0.2">
      <c r="A154" s="483"/>
      <c r="B154" s="1334" t="s">
        <v>208</v>
      </c>
      <c r="C154" s="1335">
        <v>890</v>
      </c>
      <c r="D154" s="1336">
        <v>6.57</v>
      </c>
      <c r="E154" s="1336">
        <v>10.85</v>
      </c>
      <c r="F154" s="1337">
        <v>85</v>
      </c>
      <c r="G154" s="1338">
        <v>0.3</v>
      </c>
      <c r="H154" s="1308">
        <f t="shared" si="32"/>
        <v>134</v>
      </c>
      <c r="I154" s="1309">
        <f t="shared" si="33"/>
        <v>-8</v>
      </c>
      <c r="J154" s="1310">
        <f t="shared" si="24"/>
        <v>0.36</v>
      </c>
      <c r="K154" s="1308">
        <f>1.1*Q154</f>
        <v>209.00000000000003</v>
      </c>
      <c r="L154" s="1339">
        <f>2*Q154</f>
        <v>380</v>
      </c>
      <c r="M154" s="1308">
        <f t="shared" si="25"/>
        <v>454</v>
      </c>
      <c r="N154" s="1308">
        <v>400</v>
      </c>
      <c r="O154" s="1312">
        <v>15</v>
      </c>
      <c r="P154" s="1312">
        <v>25</v>
      </c>
      <c r="Q154" s="1340">
        <v>190</v>
      </c>
      <c r="R154" s="1338">
        <v>0</v>
      </c>
      <c r="S154" s="1304">
        <v>56</v>
      </c>
      <c r="T154" s="1305">
        <v>2</v>
      </c>
      <c r="U154" s="1305">
        <v>2.1</v>
      </c>
      <c r="V154" s="1305">
        <v>0.3</v>
      </c>
      <c r="W154" s="1305">
        <v>1.3</v>
      </c>
      <c r="X154" s="1313">
        <v>11</v>
      </c>
      <c r="Y154" s="1359" t="s">
        <v>369</v>
      </c>
      <c r="Z154" s="1397"/>
      <c r="AA154" s="485" t="str">
        <f t="shared" si="26"/>
        <v/>
      </c>
      <c r="AB154" s="482">
        <f t="shared" si="27"/>
        <v>190</v>
      </c>
      <c r="AC154" s="482">
        <f t="shared" si="31"/>
        <v>400</v>
      </c>
      <c r="AD154" s="495">
        <v>0.3</v>
      </c>
      <c r="AE154" s="482">
        <f t="shared" si="28"/>
        <v>120</v>
      </c>
      <c r="AF154" s="482">
        <f t="shared" si="29"/>
        <v>15</v>
      </c>
      <c r="AG154" s="496">
        <f t="shared" si="30"/>
        <v>0.51</v>
      </c>
    </row>
    <row r="155" spans="1:33" s="450" customFormat="1" ht="17.25" customHeight="1" x14ac:dyDescent="0.2">
      <c r="A155" s="483"/>
      <c r="B155" s="1334" t="s">
        <v>235</v>
      </c>
      <c r="C155" s="1335">
        <v>920</v>
      </c>
      <c r="D155" s="1336">
        <v>5.9</v>
      </c>
      <c r="E155" s="1336">
        <v>10</v>
      </c>
      <c r="F155" s="1337">
        <v>297</v>
      </c>
      <c r="G155" s="1338">
        <v>0.25</v>
      </c>
      <c r="H155" s="1308">
        <f t="shared" si="32"/>
        <v>179</v>
      </c>
      <c r="I155" s="1309" t="str">
        <f t="shared" si="33"/>
        <v>+19</v>
      </c>
      <c r="J155" s="1310">
        <f t="shared" si="24"/>
        <v>0.28000000000000003</v>
      </c>
      <c r="K155" s="1308">
        <f>181/1.06</f>
        <v>170.75471698113208</v>
      </c>
      <c r="L155" s="1339">
        <f>433/1.06</f>
        <v>408.49056603773585</v>
      </c>
      <c r="M155" s="1308">
        <f t="shared" si="25"/>
        <v>226.50943396226415</v>
      </c>
      <c r="N155" s="1308">
        <v>46</v>
      </c>
      <c r="O155" s="1312">
        <v>139</v>
      </c>
      <c r="P155" s="1312">
        <v>11</v>
      </c>
      <c r="Q155" s="1340">
        <v>150</v>
      </c>
      <c r="R155" s="1338">
        <v>0</v>
      </c>
      <c r="S155" s="1304">
        <v>57</v>
      </c>
      <c r="T155" s="1305">
        <v>0.7</v>
      </c>
      <c r="U155" s="1305">
        <v>5.6</v>
      </c>
      <c r="V155" s="1305">
        <v>0.5</v>
      </c>
      <c r="W155" s="1305">
        <v>0.4</v>
      </c>
      <c r="X155" s="1313">
        <v>2.6</v>
      </c>
      <c r="Y155" s="1359" t="s">
        <v>369</v>
      </c>
      <c r="Z155" s="1397"/>
      <c r="AA155" s="485" t="str">
        <f t="shared" si="26"/>
        <v/>
      </c>
      <c r="AB155" s="482">
        <f t="shared" si="27"/>
        <v>150</v>
      </c>
      <c r="AC155" s="482">
        <v>46</v>
      </c>
      <c r="AD155" s="495">
        <v>0.1</v>
      </c>
      <c r="AE155" s="482">
        <f>+AC155*AD155</f>
        <v>4.6000000000000005</v>
      </c>
      <c r="AF155" s="482">
        <f>+O155</f>
        <v>139</v>
      </c>
      <c r="AG155" s="496">
        <f>0.9-1.3*AD155</f>
        <v>0.77</v>
      </c>
    </row>
    <row r="156" spans="1:33" s="450" customFormat="1" ht="17.25" customHeight="1" x14ac:dyDescent="0.2">
      <c r="A156" s="483"/>
      <c r="B156" s="1334" t="s">
        <v>135</v>
      </c>
      <c r="C156" s="1335">
        <v>786</v>
      </c>
      <c r="D156" s="1336">
        <v>7.6</v>
      </c>
      <c r="E156" s="1336">
        <v>11.9</v>
      </c>
      <c r="F156" s="1337">
        <v>135</v>
      </c>
      <c r="G156" s="1338">
        <v>0.2</v>
      </c>
      <c r="H156" s="1308">
        <v>153</v>
      </c>
      <c r="I156" s="1309">
        <f t="shared" si="33"/>
        <v>-3</v>
      </c>
      <c r="J156" s="1310">
        <f t="shared" si="24"/>
        <v>-0.4</v>
      </c>
      <c r="K156" s="1308">
        <v>0</v>
      </c>
      <c r="L156" s="1339">
        <v>0</v>
      </c>
      <c r="M156" s="1308">
        <f t="shared" si="25"/>
        <v>746</v>
      </c>
      <c r="N156" s="1308">
        <v>0</v>
      </c>
      <c r="O156" s="1312">
        <v>652</v>
      </c>
      <c r="P156" s="1312">
        <v>3</v>
      </c>
      <c r="Q156" s="1340">
        <v>5</v>
      </c>
      <c r="R156" s="1338">
        <v>0</v>
      </c>
      <c r="S156" s="1304">
        <v>116</v>
      </c>
      <c r="T156" s="1305">
        <v>2.5</v>
      </c>
      <c r="U156" s="1305">
        <v>0.5</v>
      </c>
      <c r="V156" s="1305">
        <v>7.6</v>
      </c>
      <c r="W156" s="1305">
        <v>0.2</v>
      </c>
      <c r="X156" s="1313">
        <v>54.1</v>
      </c>
      <c r="Y156" s="1359" t="s">
        <v>369</v>
      </c>
      <c r="Z156" s="1397"/>
      <c r="AA156" s="485" t="str">
        <f t="shared" si="26"/>
        <v/>
      </c>
      <c r="AB156" s="482">
        <f t="shared" si="27"/>
        <v>5</v>
      </c>
      <c r="AC156" s="482">
        <f t="shared" si="31"/>
        <v>1E-4</v>
      </c>
      <c r="AD156" s="495">
        <v>1</v>
      </c>
      <c r="AE156" s="482">
        <f t="shared" si="28"/>
        <v>1E-4</v>
      </c>
      <c r="AF156" s="482">
        <f t="shared" si="29"/>
        <v>652</v>
      </c>
      <c r="AG156" s="496">
        <f t="shared" si="30"/>
        <v>-0.4</v>
      </c>
    </row>
    <row r="157" spans="1:33" s="450" customFormat="1" ht="17.25" customHeight="1" x14ac:dyDescent="0.2">
      <c r="A157" s="483"/>
      <c r="B157" s="1303" t="s">
        <v>97</v>
      </c>
      <c r="C157" s="1304">
        <v>900</v>
      </c>
      <c r="D157" s="1305">
        <v>7.7</v>
      </c>
      <c r="E157" s="1305">
        <v>12.2</v>
      </c>
      <c r="F157" s="1306">
        <v>97</v>
      </c>
      <c r="G157" s="1307">
        <v>0.3</v>
      </c>
      <c r="H157" s="1308">
        <v>150</v>
      </c>
      <c r="I157" s="1309">
        <f t="shared" si="33"/>
        <v>-8</v>
      </c>
      <c r="J157" s="1310">
        <f t="shared" si="24"/>
        <v>0.24</v>
      </c>
      <c r="K157" s="1308">
        <v>184</v>
      </c>
      <c r="L157" s="1308">
        <v>315</v>
      </c>
      <c r="M157" s="1308">
        <f t="shared" si="25"/>
        <v>504</v>
      </c>
      <c r="N157" s="1308">
        <v>0</v>
      </c>
      <c r="O157" s="1312">
        <v>200</v>
      </c>
      <c r="P157" s="1312">
        <v>8</v>
      </c>
      <c r="Q157" s="1312">
        <v>146</v>
      </c>
      <c r="R157" s="1307">
        <v>0</v>
      </c>
      <c r="S157" s="1304">
        <v>76</v>
      </c>
      <c r="T157" s="1305">
        <v>10.6</v>
      </c>
      <c r="U157" s="1305">
        <v>0.8</v>
      </c>
      <c r="V157" s="1305">
        <v>1.7</v>
      </c>
      <c r="W157" s="1305">
        <v>1.8</v>
      </c>
      <c r="X157" s="1313">
        <v>14.4</v>
      </c>
      <c r="Y157" s="1359" t="s">
        <v>369</v>
      </c>
      <c r="Z157" s="1397"/>
      <c r="AA157" s="485" t="str">
        <f t="shared" si="26"/>
        <v/>
      </c>
      <c r="AB157" s="482">
        <f t="shared" si="27"/>
        <v>146</v>
      </c>
      <c r="AC157" s="482">
        <f t="shared" si="31"/>
        <v>1E-4</v>
      </c>
      <c r="AD157" s="495">
        <v>1</v>
      </c>
      <c r="AE157" s="482">
        <f t="shared" si="28"/>
        <v>1E-4</v>
      </c>
      <c r="AF157" s="482">
        <f t="shared" si="29"/>
        <v>200</v>
      </c>
      <c r="AG157" s="496">
        <f t="shared" si="30"/>
        <v>-0.4</v>
      </c>
    </row>
    <row r="158" spans="1:33" s="450" customFormat="1" ht="17.25" customHeight="1" x14ac:dyDescent="0.2">
      <c r="A158" s="483"/>
      <c r="B158" s="1303" t="s">
        <v>134</v>
      </c>
      <c r="C158" s="1304">
        <v>910</v>
      </c>
      <c r="D158" s="1305">
        <v>7.47</v>
      </c>
      <c r="E158" s="1305">
        <v>12.3</v>
      </c>
      <c r="F158" s="1306">
        <v>205</v>
      </c>
      <c r="G158" s="1307">
        <v>0.4</v>
      </c>
      <c r="H158" s="1308">
        <f t="shared" si="32"/>
        <v>198</v>
      </c>
      <c r="I158" s="1309" t="str">
        <f t="shared" si="33"/>
        <v>+1</v>
      </c>
      <c r="J158" s="1310">
        <f t="shared" si="24"/>
        <v>0.46</v>
      </c>
      <c r="K158" s="1308">
        <v>350</v>
      </c>
      <c r="L158" s="1308">
        <v>550</v>
      </c>
      <c r="M158" s="1308">
        <f t="shared" si="25"/>
        <v>135</v>
      </c>
      <c r="N158" s="1308">
        <v>0</v>
      </c>
      <c r="O158" s="1312">
        <v>25</v>
      </c>
      <c r="P158" s="1312">
        <v>65</v>
      </c>
      <c r="Q158" s="1312">
        <v>170</v>
      </c>
      <c r="R158" s="1307">
        <v>0</v>
      </c>
      <c r="S158" s="1304">
        <v>45</v>
      </c>
      <c r="T158" s="1305">
        <f>2.2/0.9</f>
        <v>2.4444444444444446</v>
      </c>
      <c r="U158" s="1305">
        <v>6.6</v>
      </c>
      <c r="V158" s="1305">
        <f>0.48/0.9</f>
        <v>0.53333333333333333</v>
      </c>
      <c r="W158" s="1305">
        <f>3/0.9</f>
        <v>3.333333333333333</v>
      </c>
      <c r="X158" s="1313">
        <f>6.7/0.9</f>
        <v>7.4444444444444446</v>
      </c>
      <c r="Y158" s="1359" t="s">
        <v>369</v>
      </c>
      <c r="Z158" s="1397"/>
      <c r="AA158" s="485" t="str">
        <f t="shared" si="26"/>
        <v/>
      </c>
      <c r="AB158" s="482">
        <f t="shared" si="27"/>
        <v>170</v>
      </c>
      <c r="AC158" s="482">
        <f t="shared" si="31"/>
        <v>1E-4</v>
      </c>
      <c r="AD158" s="495">
        <v>1</v>
      </c>
      <c r="AE158" s="482">
        <f t="shared" si="28"/>
        <v>1E-4</v>
      </c>
      <c r="AF158" s="482">
        <f t="shared" si="29"/>
        <v>25</v>
      </c>
      <c r="AG158" s="496">
        <f t="shared" si="30"/>
        <v>-0.4</v>
      </c>
    </row>
    <row r="159" spans="1:33" s="450" customFormat="1" ht="17.25" customHeight="1" x14ac:dyDescent="0.2">
      <c r="A159" s="483"/>
      <c r="B159" s="1303" t="s">
        <v>98</v>
      </c>
      <c r="C159" s="1304">
        <v>890</v>
      </c>
      <c r="D159" s="1305">
        <v>7.34</v>
      </c>
      <c r="E159" s="1305">
        <v>12</v>
      </c>
      <c r="F159" s="1306">
        <v>385</v>
      </c>
      <c r="G159" s="1307">
        <v>0.35</v>
      </c>
      <c r="H159" s="1308">
        <f t="shared" si="32"/>
        <v>253</v>
      </c>
      <c r="I159" s="1309" t="str">
        <f t="shared" si="33"/>
        <v>+21</v>
      </c>
      <c r="J159" s="1310">
        <f t="shared" si="24"/>
        <v>0.38</v>
      </c>
      <c r="K159" s="1308">
        <v>226</v>
      </c>
      <c r="L159" s="1308">
        <v>315</v>
      </c>
      <c r="M159" s="1308">
        <v>204</v>
      </c>
      <c r="N159" s="1308">
        <v>0</v>
      </c>
      <c r="O159" s="1312">
        <v>80</v>
      </c>
      <c r="P159" s="1312">
        <v>20</v>
      </c>
      <c r="Q159" s="1312">
        <v>150</v>
      </c>
      <c r="R159" s="1307">
        <v>0</v>
      </c>
      <c r="S159" s="1304">
        <v>77</v>
      </c>
      <c r="T159" s="1305">
        <v>7.8</v>
      </c>
      <c r="U159" s="1305">
        <v>15.7</v>
      </c>
      <c r="V159" s="1305">
        <v>0.6</v>
      </c>
      <c r="W159" s="1305">
        <v>4.8</v>
      </c>
      <c r="X159" s="1313">
        <v>14.4</v>
      </c>
      <c r="Y159" s="1359" t="s">
        <v>369</v>
      </c>
      <c r="Z159" s="1397"/>
      <c r="AA159" s="485" t="str">
        <f t="shared" si="26"/>
        <v/>
      </c>
      <c r="AB159" s="482">
        <f t="shared" si="27"/>
        <v>150</v>
      </c>
      <c r="AC159" s="482">
        <f t="shared" si="31"/>
        <v>1E-4</v>
      </c>
      <c r="AD159" s="495">
        <v>1</v>
      </c>
      <c r="AE159" s="482">
        <f t="shared" si="28"/>
        <v>1E-4</v>
      </c>
      <c r="AF159" s="482">
        <f t="shared" si="29"/>
        <v>80</v>
      </c>
      <c r="AG159" s="496">
        <f t="shared" si="30"/>
        <v>-0.4</v>
      </c>
    </row>
    <row r="160" spans="1:33" s="450" customFormat="1" ht="17.25" customHeight="1" x14ac:dyDescent="0.2">
      <c r="A160" s="483"/>
      <c r="B160" s="1303" t="s">
        <v>236</v>
      </c>
      <c r="C160" s="1304">
        <v>900</v>
      </c>
      <c r="D160" s="1305">
        <v>7.34</v>
      </c>
      <c r="E160" s="1305">
        <f>D160/0.63</f>
        <v>11.65079365079365</v>
      </c>
      <c r="F160" s="1306">
        <v>388</v>
      </c>
      <c r="G160" s="1307">
        <v>0.6</v>
      </c>
      <c r="H160" s="1308">
        <f t="shared" si="32"/>
        <v>331</v>
      </c>
      <c r="I160" s="1309" t="str">
        <f t="shared" si="33"/>
        <v>+9</v>
      </c>
      <c r="J160" s="1310">
        <f t="shared" si="24"/>
        <v>0.39</v>
      </c>
      <c r="K160" s="1308">
        <v>244</v>
      </c>
      <c r="L160" s="1308">
        <v>367</v>
      </c>
      <c r="M160" s="1308">
        <v>147</v>
      </c>
      <c r="N160" s="1308">
        <v>0</v>
      </c>
      <c r="O160" s="1312">
        <v>75</v>
      </c>
      <c r="P160" s="1312">
        <v>21</v>
      </c>
      <c r="Q160" s="1312">
        <v>157</v>
      </c>
      <c r="R160" s="1307">
        <v>0</v>
      </c>
      <c r="S160" s="1304">
        <v>78</v>
      </c>
      <c r="T160" s="1305">
        <v>7.6</v>
      </c>
      <c r="U160" s="1305">
        <v>16.899999999999999</v>
      </c>
      <c r="V160" s="1305">
        <v>0.8</v>
      </c>
      <c r="W160" s="1305">
        <v>4.9000000000000004</v>
      </c>
      <c r="X160" s="1313">
        <v>15.1</v>
      </c>
      <c r="Y160" s="1359" t="s">
        <v>369</v>
      </c>
      <c r="Z160" s="1397"/>
      <c r="AA160" s="485" t="str">
        <f t="shared" si="26"/>
        <v/>
      </c>
      <c r="AB160" s="482">
        <f t="shared" si="27"/>
        <v>157</v>
      </c>
      <c r="AC160" s="482">
        <f t="shared" si="31"/>
        <v>1E-4</v>
      </c>
      <c r="AD160" s="495">
        <v>1</v>
      </c>
      <c r="AE160" s="482">
        <f>+AC160*AD160</f>
        <v>1E-4</v>
      </c>
      <c r="AF160" s="482">
        <f t="shared" si="29"/>
        <v>75</v>
      </c>
      <c r="AG160" s="496">
        <f t="shared" si="30"/>
        <v>-0.4</v>
      </c>
    </row>
    <row r="161" spans="1:35" s="450" customFormat="1" ht="17.25" customHeight="1" x14ac:dyDescent="0.2">
      <c r="A161" s="483"/>
      <c r="B161" s="1303" t="s">
        <v>212</v>
      </c>
      <c r="C161" s="1304">
        <v>900</v>
      </c>
      <c r="D161" s="1305">
        <v>8.7200000000000006</v>
      </c>
      <c r="E161" s="1305">
        <v>14.19</v>
      </c>
      <c r="F161" s="1306">
        <v>340</v>
      </c>
      <c r="G161" s="1307">
        <v>0.35</v>
      </c>
      <c r="H161" s="1308">
        <f t="shared" si="32"/>
        <v>258</v>
      </c>
      <c r="I161" s="1309" t="str">
        <f t="shared" si="33"/>
        <v>+13</v>
      </c>
      <c r="J161" s="1310">
        <f t="shared" si="24"/>
        <v>0.37</v>
      </c>
      <c r="K161" s="1308">
        <f>1.9*Q161</f>
        <v>237.5</v>
      </c>
      <c r="L161" s="1308">
        <f>2.2*Q161</f>
        <v>275</v>
      </c>
      <c r="M161" s="1308">
        <f t="shared" si="25"/>
        <v>150</v>
      </c>
      <c r="N161" s="1308">
        <v>0</v>
      </c>
      <c r="O161" s="1312">
        <v>70</v>
      </c>
      <c r="P161" s="1312">
        <v>165</v>
      </c>
      <c r="Q161" s="1312">
        <v>125</v>
      </c>
      <c r="R161" s="1307">
        <v>0</v>
      </c>
      <c r="S161" s="1304">
        <v>70</v>
      </c>
      <c r="T161" s="1305">
        <v>7.5</v>
      </c>
      <c r="U161" s="1305">
        <v>11.6</v>
      </c>
      <c r="V161" s="1305">
        <v>0.4</v>
      </c>
      <c r="W161" s="1305">
        <v>5.0999999999999996</v>
      </c>
      <c r="X161" s="1313">
        <v>13</v>
      </c>
      <c r="Y161" s="1359" t="s">
        <v>369</v>
      </c>
      <c r="Z161" s="1397"/>
      <c r="AA161" s="485" t="str">
        <f t="shared" si="26"/>
        <v/>
      </c>
      <c r="AB161" s="482">
        <f t="shared" si="27"/>
        <v>125</v>
      </c>
      <c r="AC161" s="482">
        <f t="shared" si="31"/>
        <v>1E-4</v>
      </c>
      <c r="AD161" s="495">
        <v>1</v>
      </c>
      <c r="AE161" s="482">
        <f t="shared" si="28"/>
        <v>1E-4</v>
      </c>
      <c r="AF161" s="482">
        <f t="shared" si="29"/>
        <v>70</v>
      </c>
      <c r="AG161" s="496">
        <f t="shared" si="30"/>
        <v>-0.4</v>
      </c>
    </row>
    <row r="162" spans="1:35" s="450" customFormat="1" ht="17.25" customHeight="1" x14ac:dyDescent="0.2">
      <c r="A162" s="483"/>
      <c r="B162" s="1303" t="s">
        <v>124</v>
      </c>
      <c r="C162" s="1304">
        <v>880</v>
      </c>
      <c r="D162" s="1305">
        <v>8.49</v>
      </c>
      <c r="E162" s="1305">
        <v>13.3</v>
      </c>
      <c r="F162" s="1306">
        <v>105</v>
      </c>
      <c r="G162" s="1307">
        <v>0.15</v>
      </c>
      <c r="H162" s="1308">
        <f t="shared" si="32"/>
        <v>161</v>
      </c>
      <c r="I162" s="1309">
        <f t="shared" si="33"/>
        <v>-9</v>
      </c>
      <c r="J162" s="1310">
        <f t="shared" si="24"/>
        <v>-0.21</v>
      </c>
      <c r="K162" s="1308">
        <f>1.5*Q162</f>
        <v>37.5</v>
      </c>
      <c r="L162" s="1308">
        <f>2.2*Q162</f>
        <v>55.000000000000007</v>
      </c>
      <c r="M162" s="1308">
        <f t="shared" si="25"/>
        <v>801</v>
      </c>
      <c r="N162" s="1308">
        <v>640</v>
      </c>
      <c r="O162" s="1312">
        <v>70</v>
      </c>
      <c r="P162" s="1312">
        <v>20</v>
      </c>
      <c r="Q162" s="1312">
        <v>25</v>
      </c>
      <c r="R162" s="1307">
        <v>0</v>
      </c>
      <c r="S162" s="1304">
        <v>19</v>
      </c>
      <c r="T162" s="1305">
        <v>0.9</v>
      </c>
      <c r="U162" s="1305">
        <v>3.3</v>
      </c>
      <c r="V162" s="1305">
        <v>0.3</v>
      </c>
      <c r="W162" s="1305">
        <v>1.4</v>
      </c>
      <c r="X162" s="1313">
        <v>6</v>
      </c>
      <c r="Y162" s="1359" t="s">
        <v>369</v>
      </c>
      <c r="Z162" s="1397"/>
      <c r="AA162" s="485" t="str">
        <f t="shared" si="26"/>
        <v/>
      </c>
      <c r="AB162" s="482">
        <f t="shared" si="27"/>
        <v>25</v>
      </c>
      <c r="AC162" s="482">
        <f t="shared" si="31"/>
        <v>640</v>
      </c>
      <c r="AD162" s="495">
        <v>0.1</v>
      </c>
      <c r="AE162" s="482">
        <f t="shared" si="28"/>
        <v>64</v>
      </c>
      <c r="AF162" s="482">
        <f t="shared" si="29"/>
        <v>70</v>
      </c>
      <c r="AG162" s="496">
        <f t="shared" si="30"/>
        <v>0.77</v>
      </c>
    </row>
    <row r="163" spans="1:35" s="450" customFormat="1" ht="17.25" customHeight="1" x14ac:dyDescent="0.2">
      <c r="A163" s="483"/>
      <c r="B163" s="1303" t="s">
        <v>125</v>
      </c>
      <c r="C163" s="1304">
        <v>900</v>
      </c>
      <c r="D163" s="1305">
        <v>9.9</v>
      </c>
      <c r="E163" s="1305">
        <v>15.89</v>
      </c>
      <c r="F163" s="1306">
        <v>400</v>
      </c>
      <c r="G163" s="1307">
        <v>0.2</v>
      </c>
      <c r="H163" s="1308">
        <f t="shared" si="32"/>
        <v>250</v>
      </c>
      <c r="I163" s="1309" t="str">
        <f t="shared" si="33"/>
        <v>+24</v>
      </c>
      <c r="J163" s="1310">
        <f t="shared" si="24"/>
        <v>0.25</v>
      </c>
      <c r="K163" s="1308">
        <f>1.8*Q163</f>
        <v>108</v>
      </c>
      <c r="L163" s="1308">
        <f>2.2*Q163</f>
        <v>132</v>
      </c>
      <c r="M163" s="1308">
        <f t="shared" si="25"/>
        <v>214</v>
      </c>
      <c r="N163" s="1308">
        <v>60</v>
      </c>
      <c r="O163" s="1312">
        <v>80</v>
      </c>
      <c r="P163" s="1312">
        <v>200</v>
      </c>
      <c r="Q163" s="1312">
        <v>60</v>
      </c>
      <c r="R163" s="1307">
        <v>0</v>
      </c>
      <c r="S163" s="1304">
        <v>54</v>
      </c>
      <c r="T163" s="1305">
        <v>2.9</v>
      </c>
      <c r="U163" s="1305">
        <v>7.1</v>
      </c>
      <c r="V163" s="1305">
        <v>0.2</v>
      </c>
      <c r="W163" s="1305">
        <v>3.7</v>
      </c>
      <c r="X163" s="1313">
        <v>20</v>
      </c>
      <c r="Y163" s="1359" t="s">
        <v>369</v>
      </c>
      <c r="Z163" s="1397"/>
      <c r="AA163" s="485" t="str">
        <f t="shared" si="26"/>
        <v/>
      </c>
      <c r="AB163" s="482">
        <f t="shared" si="27"/>
        <v>60</v>
      </c>
      <c r="AC163" s="482">
        <f t="shared" si="31"/>
        <v>60</v>
      </c>
      <c r="AD163" s="495">
        <v>0.1</v>
      </c>
      <c r="AE163" s="482">
        <f t="shared" si="28"/>
        <v>6</v>
      </c>
      <c r="AF163" s="482">
        <f t="shared" si="29"/>
        <v>80</v>
      </c>
      <c r="AG163" s="496">
        <f t="shared" si="30"/>
        <v>0.77</v>
      </c>
    </row>
    <row r="164" spans="1:35" s="450" customFormat="1" ht="17.25" customHeight="1" x14ac:dyDescent="0.2">
      <c r="A164" s="483"/>
      <c r="B164" s="1303" t="s">
        <v>130</v>
      </c>
      <c r="C164" s="1304">
        <v>880</v>
      </c>
      <c r="D164" s="1305">
        <v>8.44</v>
      </c>
      <c r="E164" s="1305">
        <v>13.49</v>
      </c>
      <c r="F164" s="1306">
        <v>477</v>
      </c>
      <c r="G164" s="1307">
        <v>0.3</v>
      </c>
      <c r="H164" s="1308">
        <f t="shared" si="32"/>
        <v>281</v>
      </c>
      <c r="I164" s="1309" t="str">
        <f t="shared" si="33"/>
        <v>+31</v>
      </c>
      <c r="J164" s="1310">
        <f t="shared" si="24"/>
        <v>0.25</v>
      </c>
      <c r="K164" s="1308">
        <f>1.33*Q164</f>
        <v>119.7</v>
      </c>
      <c r="L164" s="1308">
        <f>2.5*Q164</f>
        <v>225</v>
      </c>
      <c r="M164" s="1308">
        <f t="shared" si="25"/>
        <v>216</v>
      </c>
      <c r="N164" s="1308">
        <v>70</v>
      </c>
      <c r="O164" s="1312">
        <v>105</v>
      </c>
      <c r="P164" s="1312">
        <v>15</v>
      </c>
      <c r="Q164" s="1312">
        <v>90</v>
      </c>
      <c r="R164" s="1307">
        <v>0</v>
      </c>
      <c r="S164" s="1304">
        <v>67</v>
      </c>
      <c r="T164" s="1305">
        <v>3.6</v>
      </c>
      <c r="U164" s="1305">
        <v>7.4</v>
      </c>
      <c r="V164" s="1305">
        <v>0.4</v>
      </c>
      <c r="W164" s="1305">
        <v>3.7</v>
      </c>
      <c r="X164" s="1313">
        <v>25</v>
      </c>
      <c r="Y164" s="1359" t="s">
        <v>369</v>
      </c>
      <c r="Z164" s="1397"/>
      <c r="AA164" s="485" t="str">
        <f t="shared" si="26"/>
        <v/>
      </c>
      <c r="AB164" s="482">
        <f t="shared" si="27"/>
        <v>90</v>
      </c>
      <c r="AC164" s="482">
        <f t="shared" si="31"/>
        <v>70</v>
      </c>
      <c r="AD164" s="495">
        <v>0.15</v>
      </c>
      <c r="AE164" s="482">
        <f t="shared" si="28"/>
        <v>10.5</v>
      </c>
      <c r="AF164" s="482">
        <f t="shared" si="29"/>
        <v>105</v>
      </c>
      <c r="AG164" s="496">
        <f t="shared" si="30"/>
        <v>0.70500000000000007</v>
      </c>
    </row>
    <row r="165" spans="1:35" s="450" customFormat="1" ht="17.25" customHeight="1" x14ac:dyDescent="0.2">
      <c r="A165" s="483"/>
      <c r="B165" s="1303" t="s">
        <v>213</v>
      </c>
      <c r="C165" s="1304">
        <v>880</v>
      </c>
      <c r="D165" s="1305">
        <v>8.64</v>
      </c>
      <c r="E165" s="1305">
        <v>13.76</v>
      </c>
      <c r="F165" s="1306">
        <v>500</v>
      </c>
      <c r="G165" s="1307">
        <v>0.65</v>
      </c>
      <c r="H165" s="1308">
        <f t="shared" si="32"/>
        <v>438</v>
      </c>
      <c r="I165" s="1309" t="str">
        <f t="shared" si="33"/>
        <v>+10</v>
      </c>
      <c r="J165" s="1310">
        <f t="shared" si="24"/>
        <v>0.23</v>
      </c>
      <c r="K165" s="1308">
        <f>1.7*Q165</f>
        <v>119</v>
      </c>
      <c r="L165" s="1308">
        <f>2.9*Q165</f>
        <v>203</v>
      </c>
      <c r="M165" s="1308">
        <f t="shared" si="25"/>
        <v>224</v>
      </c>
      <c r="N165" s="1308">
        <v>70</v>
      </c>
      <c r="O165" s="1312">
        <v>105</v>
      </c>
      <c r="P165" s="1312">
        <v>15</v>
      </c>
      <c r="Q165" s="1312">
        <v>70</v>
      </c>
      <c r="R165" s="1307">
        <v>0</v>
      </c>
      <c r="S165" s="1304">
        <v>58</v>
      </c>
      <c r="T165" s="1305">
        <v>3.1</v>
      </c>
      <c r="U165" s="1305">
        <v>7</v>
      </c>
      <c r="V165" s="1305">
        <v>0.2</v>
      </c>
      <c r="W165" s="1305">
        <v>3</v>
      </c>
      <c r="X165" s="1313">
        <v>22</v>
      </c>
      <c r="Y165" s="1359" t="s">
        <v>369</v>
      </c>
      <c r="Z165" s="1397"/>
      <c r="AA165" s="485" t="str">
        <f t="shared" si="26"/>
        <v/>
      </c>
      <c r="AB165" s="482">
        <f t="shared" si="27"/>
        <v>70</v>
      </c>
      <c r="AC165" s="482">
        <f t="shared" si="31"/>
        <v>70</v>
      </c>
      <c r="AD165" s="495">
        <v>0.15</v>
      </c>
      <c r="AE165" s="482">
        <f t="shared" si="28"/>
        <v>10.5</v>
      </c>
      <c r="AF165" s="482">
        <f t="shared" si="29"/>
        <v>105</v>
      </c>
      <c r="AG165" s="496">
        <f t="shared" si="30"/>
        <v>0.70500000000000007</v>
      </c>
    </row>
    <row r="166" spans="1:35" s="450" customFormat="1" ht="17.25" customHeight="1" x14ac:dyDescent="0.2">
      <c r="A166" s="483"/>
      <c r="B166" s="1303" t="s">
        <v>129</v>
      </c>
      <c r="C166" s="1304">
        <v>890</v>
      </c>
      <c r="D166" s="1305">
        <v>8.56</v>
      </c>
      <c r="E166" s="1305">
        <v>13.68</v>
      </c>
      <c r="F166" s="1306">
        <v>545</v>
      </c>
      <c r="G166" s="1307">
        <v>0.3</v>
      </c>
      <c r="H166" s="1308">
        <f t="shared" si="32"/>
        <v>304</v>
      </c>
      <c r="I166" s="1309" t="str">
        <f t="shared" si="33"/>
        <v>+39</v>
      </c>
      <c r="J166" s="1310">
        <f t="shared" si="24"/>
        <v>0.19</v>
      </c>
      <c r="K166" s="1308">
        <f>1.3*Q166</f>
        <v>52</v>
      </c>
      <c r="L166" s="1308">
        <f>2.2*Q166</f>
        <v>88</v>
      </c>
      <c r="M166" s="1308">
        <f t="shared" si="25"/>
        <v>285</v>
      </c>
      <c r="N166" s="1308">
        <v>75</v>
      </c>
      <c r="O166" s="1312">
        <v>110</v>
      </c>
      <c r="P166" s="1312">
        <v>15</v>
      </c>
      <c r="Q166" s="1312">
        <v>40</v>
      </c>
      <c r="R166" s="1307">
        <v>0</v>
      </c>
      <c r="S166" s="1304">
        <v>67</v>
      </c>
      <c r="T166" s="1305">
        <f>3/0.89</f>
        <v>3.3707865168539324</v>
      </c>
      <c r="U166" s="1305">
        <f>7.1/0.89</f>
        <v>7.97752808988764</v>
      </c>
      <c r="V166" s="1305">
        <f>0.16/0.89</f>
        <v>0.1797752808988764</v>
      </c>
      <c r="W166" s="1305">
        <f>2.6/0.89</f>
        <v>2.9213483146067416</v>
      </c>
      <c r="X166" s="1313">
        <f>21.6/0.89</f>
        <v>24.269662921348317</v>
      </c>
      <c r="Y166" s="1359" t="s">
        <v>369</v>
      </c>
      <c r="Z166" s="1397"/>
      <c r="AA166" s="485" t="str">
        <f t="shared" si="26"/>
        <v/>
      </c>
      <c r="AB166" s="482">
        <f t="shared" si="27"/>
        <v>40</v>
      </c>
      <c r="AC166" s="482">
        <f t="shared" si="31"/>
        <v>75</v>
      </c>
      <c r="AD166" s="495">
        <v>0.15</v>
      </c>
      <c r="AE166" s="482">
        <f t="shared" si="28"/>
        <v>11.25</v>
      </c>
      <c r="AF166" s="482">
        <f t="shared" si="29"/>
        <v>110</v>
      </c>
      <c r="AG166" s="496">
        <f t="shared" si="30"/>
        <v>0.70500000000000007</v>
      </c>
    </row>
    <row r="167" spans="1:35" s="450" customFormat="1" ht="17.25" customHeight="1" x14ac:dyDescent="0.2">
      <c r="A167" s="483"/>
      <c r="B167" s="1303" t="s">
        <v>128</v>
      </c>
      <c r="C167" s="1304">
        <v>900</v>
      </c>
      <c r="D167" s="1305">
        <v>6.01</v>
      </c>
      <c r="E167" s="1305">
        <v>10.24</v>
      </c>
      <c r="F167" s="1306">
        <v>383</v>
      </c>
      <c r="G167" s="1307">
        <v>0.25</v>
      </c>
      <c r="H167" s="1308">
        <f t="shared" si="32"/>
        <v>203</v>
      </c>
      <c r="I167" s="1309" t="str">
        <f t="shared" si="33"/>
        <v>+29</v>
      </c>
      <c r="J167" s="1310">
        <f t="shared" si="24"/>
        <v>0.45</v>
      </c>
      <c r="K167" s="1308">
        <f>1.2*Q167</f>
        <v>264</v>
      </c>
      <c r="L167" s="1308">
        <f>1.8*Q167</f>
        <v>396</v>
      </c>
      <c r="M167" s="1308">
        <f t="shared" si="25"/>
        <v>126</v>
      </c>
      <c r="N167" s="1308">
        <v>0</v>
      </c>
      <c r="O167" s="1312">
        <v>80</v>
      </c>
      <c r="P167" s="1312">
        <v>25</v>
      </c>
      <c r="Q167" s="1312">
        <v>220</v>
      </c>
      <c r="R167" s="1307">
        <v>0</v>
      </c>
      <c r="S167" s="1304">
        <v>70</v>
      </c>
      <c r="T167" s="1305">
        <f>3.6/0.9</f>
        <v>4</v>
      </c>
      <c r="U167" s="1305">
        <v>10.7</v>
      </c>
      <c r="V167" s="1305">
        <v>0.5</v>
      </c>
      <c r="W167" s="1305">
        <f>4.7/0.9</f>
        <v>5.2222222222222223</v>
      </c>
      <c r="X167" s="1313">
        <f>11.7/0.9</f>
        <v>12.999999999999998</v>
      </c>
      <c r="Y167" s="1359" t="s">
        <v>369</v>
      </c>
      <c r="Z167" s="1397"/>
      <c r="AA167" s="485" t="str">
        <f t="shared" si="26"/>
        <v/>
      </c>
      <c r="AB167" s="482">
        <f t="shared" si="27"/>
        <v>220</v>
      </c>
      <c r="AC167" s="482">
        <f t="shared" si="31"/>
        <v>1E-4</v>
      </c>
      <c r="AD167" s="495">
        <v>1</v>
      </c>
      <c r="AE167" s="482">
        <f t="shared" si="28"/>
        <v>1E-4</v>
      </c>
      <c r="AF167" s="482">
        <f t="shared" si="29"/>
        <v>80</v>
      </c>
      <c r="AG167" s="496">
        <f t="shared" si="30"/>
        <v>-0.4</v>
      </c>
    </row>
    <row r="168" spans="1:35" s="450" customFormat="1" ht="17.25" customHeight="1" x14ac:dyDescent="0.2">
      <c r="A168" s="483"/>
      <c r="B168" s="1303" t="s">
        <v>99</v>
      </c>
      <c r="C168" s="1304">
        <v>880</v>
      </c>
      <c r="D168" s="1305">
        <v>8.3699999999999992</v>
      </c>
      <c r="E168" s="1305">
        <v>13.17</v>
      </c>
      <c r="F168" s="1306">
        <v>120</v>
      </c>
      <c r="G168" s="1307">
        <v>0.15</v>
      </c>
      <c r="H168" s="1308">
        <f t="shared" si="32"/>
        <v>162</v>
      </c>
      <c r="I168" s="1309">
        <f t="shared" si="33"/>
        <v>-7</v>
      </c>
      <c r="J168" s="1310">
        <f t="shared" si="24"/>
        <v>-0.2</v>
      </c>
      <c r="K168" s="1308">
        <f>1.5*Q168</f>
        <v>37.5</v>
      </c>
      <c r="L168" s="1308">
        <f>4.75*Q168</f>
        <v>118.75</v>
      </c>
      <c r="M168" s="1308">
        <f t="shared" si="25"/>
        <v>719.25</v>
      </c>
      <c r="N168" s="1308">
        <v>660</v>
      </c>
      <c r="O168" s="1312">
        <v>45</v>
      </c>
      <c r="P168" s="1312">
        <v>20</v>
      </c>
      <c r="Q168" s="1312">
        <v>25</v>
      </c>
      <c r="R168" s="1307">
        <v>0</v>
      </c>
      <c r="S168" s="1304">
        <v>22</v>
      </c>
      <c r="T168" s="1305">
        <f>0.4/0.88</f>
        <v>0.45454545454545459</v>
      </c>
      <c r="U168" s="1305">
        <f>3.8/0.88</f>
        <v>4.3181818181818183</v>
      </c>
      <c r="V168" s="1305">
        <f>0.1/0.88</f>
        <v>0.11363636363636365</v>
      </c>
      <c r="W168" s="1305">
        <f>1.1/0.88</f>
        <v>1.25</v>
      </c>
      <c r="X168" s="1313">
        <f>4.7/0.88</f>
        <v>5.3409090909090908</v>
      </c>
      <c r="Y168" s="1359" t="s">
        <v>369</v>
      </c>
      <c r="Z168" s="1397"/>
      <c r="AA168" s="485" t="str">
        <f t="shared" si="26"/>
        <v/>
      </c>
      <c r="AB168" s="482">
        <f t="shared" si="27"/>
        <v>25</v>
      </c>
      <c r="AC168" s="482">
        <f t="shared" si="31"/>
        <v>660</v>
      </c>
      <c r="AD168" s="495">
        <v>0.1</v>
      </c>
      <c r="AE168" s="482">
        <f t="shared" si="28"/>
        <v>66</v>
      </c>
      <c r="AF168" s="482">
        <f t="shared" si="29"/>
        <v>45</v>
      </c>
      <c r="AG168" s="496">
        <f t="shared" si="30"/>
        <v>0.77</v>
      </c>
    </row>
    <row r="169" spans="1:35" s="450" customFormat="1" ht="17.25" customHeight="1" x14ac:dyDescent="0.2">
      <c r="A169" s="483"/>
      <c r="B169" s="1303" t="s">
        <v>100</v>
      </c>
      <c r="C169" s="1304">
        <v>880</v>
      </c>
      <c r="D169" s="1305">
        <v>8.6</v>
      </c>
      <c r="E169" s="1305">
        <f>D169/0.63</f>
        <v>13.65079365079365</v>
      </c>
      <c r="F169" s="1306">
        <v>150</v>
      </c>
      <c r="G169" s="1307">
        <v>0.2</v>
      </c>
      <c r="H169" s="1308">
        <f t="shared" si="32"/>
        <v>175</v>
      </c>
      <c r="I169" s="1309">
        <f t="shared" si="33"/>
        <v>-4</v>
      </c>
      <c r="J169" s="1310">
        <f t="shared" si="24"/>
        <v>-0.19</v>
      </c>
      <c r="K169" s="1308">
        <v>84</v>
      </c>
      <c r="L169" s="1308">
        <v>157</v>
      </c>
      <c r="M169" s="1308">
        <f t="shared" si="25"/>
        <v>643</v>
      </c>
      <c r="N169" s="1308">
        <v>670</v>
      </c>
      <c r="O169" s="1312">
        <v>35</v>
      </c>
      <c r="P169" s="1312">
        <v>28</v>
      </c>
      <c r="Q169" s="1312">
        <v>30</v>
      </c>
      <c r="R169" s="1307">
        <v>0</v>
      </c>
      <c r="S169" s="1304">
        <v>22</v>
      </c>
      <c r="T169" s="1305">
        <v>0.9</v>
      </c>
      <c r="U169" s="1305">
        <v>5.8</v>
      </c>
      <c r="V169" s="1305">
        <v>0.1</v>
      </c>
      <c r="W169" s="1305">
        <v>1.4</v>
      </c>
      <c r="X169" s="1313">
        <v>6.1</v>
      </c>
      <c r="Y169" s="1359" t="s">
        <v>369</v>
      </c>
      <c r="Z169" s="1397"/>
      <c r="AA169" s="485" t="str">
        <f t="shared" si="26"/>
        <v/>
      </c>
      <c r="AB169" s="482">
        <f t="shared" si="27"/>
        <v>30</v>
      </c>
      <c r="AC169" s="482">
        <f t="shared" si="31"/>
        <v>670</v>
      </c>
      <c r="AD169" s="495">
        <v>0.1</v>
      </c>
      <c r="AE169" s="482">
        <f t="shared" si="28"/>
        <v>67</v>
      </c>
      <c r="AF169" s="482">
        <f t="shared" si="29"/>
        <v>35</v>
      </c>
      <c r="AG169" s="496">
        <f t="shared" si="30"/>
        <v>0.77</v>
      </c>
    </row>
    <row r="170" spans="1:35" s="450" customFormat="1" ht="17.25" customHeight="1" x14ac:dyDescent="0.2">
      <c r="A170" s="483"/>
      <c r="B170" s="1303" t="s">
        <v>232</v>
      </c>
      <c r="C170" s="1304">
        <v>880</v>
      </c>
      <c r="D170" s="1305">
        <f>7.8/0.88</f>
        <v>8.8636363636363633</v>
      </c>
      <c r="E170" s="1305">
        <f>D170/0.6</f>
        <v>14.772727272727273</v>
      </c>
      <c r="F170" s="1306">
        <f>166/0.88</f>
        <v>188.63636363636363</v>
      </c>
      <c r="G170" s="1307">
        <v>0.2</v>
      </c>
      <c r="H170" s="1308">
        <f t="shared" si="32"/>
        <v>195</v>
      </c>
      <c r="I170" s="1309">
        <f t="shared" si="33"/>
        <v>-1</v>
      </c>
      <c r="J170" s="1310">
        <f t="shared" si="24"/>
        <v>-0.26</v>
      </c>
      <c r="K170" s="1308">
        <f>21/0.88</f>
        <v>23.863636363636363</v>
      </c>
      <c r="L170" s="1308">
        <f>51/0.88</f>
        <v>57.954545454545453</v>
      </c>
      <c r="M170" s="1308">
        <f t="shared" si="25"/>
        <v>701.13636363636363</v>
      </c>
      <c r="N170" s="1308">
        <v>505</v>
      </c>
      <c r="O170" s="1312">
        <v>0</v>
      </c>
      <c r="P170" s="1308">
        <f>27/0.88</f>
        <v>30.681818181818183</v>
      </c>
      <c r="Q170" s="1308">
        <f>117.88</f>
        <v>117.88</v>
      </c>
      <c r="R170" s="1307">
        <v>0</v>
      </c>
      <c r="S170" s="1314">
        <f>19/0.88</f>
        <v>21.59090909090909</v>
      </c>
      <c r="T170" s="1305">
        <f>0.4/0.88</f>
        <v>0.45454545454545459</v>
      </c>
      <c r="U170" s="1305">
        <f>3.8/0.88</f>
        <v>4.3181818181818183</v>
      </c>
      <c r="V170" s="1305">
        <f>0.04/0.88</f>
        <v>4.5454545454545456E-2</v>
      </c>
      <c r="W170" s="1305">
        <f>1.4/0.88</f>
        <v>1.5909090909090908</v>
      </c>
      <c r="X170" s="1313">
        <f>4.2/0.88</f>
        <v>4.7727272727272725</v>
      </c>
      <c r="Y170" s="1359" t="s">
        <v>369</v>
      </c>
      <c r="Z170" s="1397"/>
      <c r="AA170" s="485"/>
      <c r="AB170" s="482">
        <f t="shared" si="27"/>
        <v>117.88</v>
      </c>
      <c r="AC170" s="482">
        <v>800</v>
      </c>
      <c r="AD170" s="495">
        <v>0.05</v>
      </c>
      <c r="AE170" s="482">
        <f t="shared" si="28"/>
        <v>40</v>
      </c>
      <c r="AF170" s="482">
        <f t="shared" si="29"/>
        <v>0</v>
      </c>
      <c r="AG170" s="496">
        <f t="shared" si="30"/>
        <v>0.83499999999999996</v>
      </c>
    </row>
    <row r="171" spans="1:35" s="450" customFormat="1" ht="17.25" customHeight="1" x14ac:dyDescent="0.2">
      <c r="A171" s="483"/>
      <c r="B171" s="1303" t="s">
        <v>101</v>
      </c>
      <c r="C171" s="1304">
        <v>880</v>
      </c>
      <c r="D171" s="1305">
        <v>5.9</v>
      </c>
      <c r="E171" s="1305">
        <v>9.98</v>
      </c>
      <c r="F171" s="1306">
        <v>160</v>
      </c>
      <c r="G171" s="1307">
        <v>0.25</v>
      </c>
      <c r="H171" s="1308">
        <f t="shared" si="32"/>
        <v>143</v>
      </c>
      <c r="I171" s="1309" t="str">
        <f t="shared" si="33"/>
        <v>+3</v>
      </c>
      <c r="J171" s="1310">
        <f t="shared" si="24"/>
        <v>0.27</v>
      </c>
      <c r="K171" s="1308">
        <f>1.1*Q171</f>
        <v>148.5</v>
      </c>
      <c r="L171" s="1308">
        <f>3.8*Q171</f>
        <v>513</v>
      </c>
      <c r="M171" s="1308">
        <f t="shared" si="25"/>
        <v>217</v>
      </c>
      <c r="N171" s="1308">
        <v>145</v>
      </c>
      <c r="O171" s="1312">
        <v>65</v>
      </c>
      <c r="P171" s="1312">
        <v>45</v>
      </c>
      <c r="Q171" s="1312">
        <v>135</v>
      </c>
      <c r="R171" s="1307">
        <v>0</v>
      </c>
      <c r="S171" s="1304">
        <v>65</v>
      </c>
      <c r="T171" s="1305">
        <v>1.8</v>
      </c>
      <c r="U171" s="1305">
        <v>13</v>
      </c>
      <c r="V171" s="1305">
        <v>0.5</v>
      </c>
      <c r="W171" s="1305">
        <v>5.3</v>
      </c>
      <c r="X171" s="1313">
        <v>12</v>
      </c>
      <c r="Y171" s="1359" t="s">
        <v>369</v>
      </c>
      <c r="Z171" s="1397"/>
      <c r="AA171" s="485" t="str">
        <f t="shared" si="26"/>
        <v/>
      </c>
      <c r="AB171" s="482">
        <f t="shared" si="27"/>
        <v>135</v>
      </c>
      <c r="AC171" s="482">
        <f t="shared" si="31"/>
        <v>145</v>
      </c>
      <c r="AD171" s="495">
        <v>0.1</v>
      </c>
      <c r="AE171" s="482">
        <f t="shared" si="28"/>
        <v>14.5</v>
      </c>
      <c r="AF171" s="482">
        <f t="shared" si="29"/>
        <v>65</v>
      </c>
      <c r="AG171" s="496">
        <f t="shared" si="30"/>
        <v>0.77</v>
      </c>
    </row>
    <row r="172" spans="1:35" s="487" customFormat="1" ht="12" x14ac:dyDescent="0.2">
      <c r="A172" s="497"/>
      <c r="B172" s="1303" t="s">
        <v>139</v>
      </c>
      <c r="C172" s="1304">
        <v>900</v>
      </c>
      <c r="D172" s="1305">
        <v>7.6</v>
      </c>
      <c r="E172" s="1305">
        <f>D172/0.63</f>
        <v>12.063492063492063</v>
      </c>
      <c r="F172" s="1306">
        <v>70</v>
      </c>
      <c r="G172" s="1307">
        <v>0.25</v>
      </c>
      <c r="H172" s="1308">
        <f t="shared" si="32"/>
        <v>141</v>
      </c>
      <c r="I172" s="1309">
        <f t="shared" si="33"/>
        <v>-11</v>
      </c>
      <c r="J172" s="1310">
        <f t="shared" si="24"/>
        <v>0.18</v>
      </c>
      <c r="K172" s="1308">
        <f>1.1*Q172</f>
        <v>154</v>
      </c>
      <c r="L172" s="1341">
        <f>1.6*Q172</f>
        <v>224</v>
      </c>
      <c r="M172" s="1308">
        <f t="shared" si="25"/>
        <v>609</v>
      </c>
      <c r="N172" s="1308">
        <v>0</v>
      </c>
      <c r="O172" s="1312">
        <v>245</v>
      </c>
      <c r="P172" s="1312">
        <v>35</v>
      </c>
      <c r="Q172" s="1312">
        <v>140</v>
      </c>
      <c r="R172" s="1307">
        <v>0</v>
      </c>
      <c r="S172" s="1304">
        <v>62</v>
      </c>
      <c r="T172" s="1305">
        <v>18.8</v>
      </c>
      <c r="U172" s="1305">
        <f>1.2/0.9</f>
        <v>1.3333333333333333</v>
      </c>
      <c r="V172" s="1305">
        <v>0.8</v>
      </c>
      <c r="W172" s="1305">
        <f>1.4/0.9</f>
        <v>1.5555555555555554</v>
      </c>
      <c r="X172" s="1313">
        <v>9</v>
      </c>
      <c r="Y172" s="1359" t="s">
        <v>369</v>
      </c>
      <c r="Z172" s="1397"/>
      <c r="AA172" s="485" t="str">
        <f t="shared" si="26"/>
        <v/>
      </c>
      <c r="AB172" s="504">
        <f t="shared" si="27"/>
        <v>140</v>
      </c>
      <c r="AC172" s="482">
        <f t="shared" si="31"/>
        <v>1E-4</v>
      </c>
      <c r="AD172" s="505">
        <v>1</v>
      </c>
      <c r="AE172" s="504">
        <f t="shared" si="28"/>
        <v>1E-4</v>
      </c>
      <c r="AF172" s="504">
        <f t="shared" si="29"/>
        <v>245</v>
      </c>
      <c r="AG172" s="504">
        <f t="shared" si="30"/>
        <v>-0.4</v>
      </c>
      <c r="AI172" s="450"/>
    </row>
    <row r="173" spans="1:35" s="487" customFormat="1" ht="2.25" customHeight="1" x14ac:dyDescent="0.2">
      <c r="A173" s="488"/>
      <c r="B173" s="1318"/>
      <c r="C173" s="1319">
        <v>1E-3</v>
      </c>
      <c r="D173" s="1320">
        <v>0</v>
      </c>
      <c r="E173" s="1320">
        <v>0</v>
      </c>
      <c r="F173" s="1321">
        <v>0</v>
      </c>
      <c r="G173" s="1320">
        <v>0</v>
      </c>
      <c r="H173" s="1320">
        <v>0</v>
      </c>
      <c r="I173" s="1320">
        <v>0</v>
      </c>
      <c r="J173" s="1320">
        <v>0</v>
      </c>
      <c r="K173" s="1320">
        <v>0</v>
      </c>
      <c r="L173" s="1320">
        <v>0</v>
      </c>
      <c r="M173" s="1320">
        <v>0</v>
      </c>
      <c r="N173" s="1320">
        <v>0</v>
      </c>
      <c r="O173" s="1320">
        <v>0</v>
      </c>
      <c r="P173" s="1320">
        <v>0</v>
      </c>
      <c r="Q173" s="1320">
        <v>0</v>
      </c>
      <c r="R173" s="1320">
        <v>0</v>
      </c>
      <c r="S173" s="1319">
        <v>0</v>
      </c>
      <c r="T173" s="1320">
        <v>0</v>
      </c>
      <c r="U173" s="1323">
        <v>0</v>
      </c>
      <c r="V173" s="1323">
        <v>0</v>
      </c>
      <c r="W173" s="1323">
        <v>0</v>
      </c>
      <c r="X173" s="1324">
        <v>0</v>
      </c>
      <c r="Y173" s="1324"/>
      <c r="Z173" s="1376"/>
      <c r="AA173" s="485"/>
      <c r="AB173" s="486"/>
      <c r="AC173" s="486"/>
      <c r="AD173" s="486"/>
      <c r="AE173" s="486"/>
      <c r="AF173" s="486"/>
      <c r="AG173" s="486"/>
      <c r="AI173" s="450"/>
    </row>
    <row r="174" spans="1:35" s="450" customFormat="1" ht="17.25" customHeight="1" x14ac:dyDescent="0.2">
      <c r="A174" s="472" t="s">
        <v>34</v>
      </c>
      <c r="B174" s="1325"/>
      <c r="C174" s="1326">
        <v>1E-4</v>
      </c>
      <c r="D174" s="1327">
        <v>1E-4</v>
      </c>
      <c r="E174" s="1327">
        <v>1E-4</v>
      </c>
      <c r="F174" s="1328">
        <v>1E-4</v>
      </c>
      <c r="G174" s="1327">
        <v>1E-4</v>
      </c>
      <c r="H174" s="1327">
        <v>1E-4</v>
      </c>
      <c r="I174" s="1327">
        <v>1E-4</v>
      </c>
      <c r="J174" s="1327">
        <v>1E-4</v>
      </c>
      <c r="K174" s="1327">
        <v>1E-4</v>
      </c>
      <c r="L174" s="1327">
        <v>1E-4</v>
      </c>
      <c r="M174" s="1327">
        <v>1E-4</v>
      </c>
      <c r="N174" s="1327">
        <v>1E-4</v>
      </c>
      <c r="O174" s="1327">
        <v>1E-4</v>
      </c>
      <c r="P174" s="1327">
        <v>1E-4</v>
      </c>
      <c r="Q174" s="1327">
        <v>1E-4</v>
      </c>
      <c r="R174" s="1327">
        <v>1E-4</v>
      </c>
      <c r="S174" s="1326">
        <v>1E-4</v>
      </c>
      <c r="T174" s="1327">
        <v>1E-4</v>
      </c>
      <c r="U174" s="1329">
        <v>1E-4</v>
      </c>
      <c r="V174" s="1329">
        <v>1E-4</v>
      </c>
      <c r="W174" s="1329">
        <v>1E-4</v>
      </c>
      <c r="X174" s="1330">
        <v>1E-4</v>
      </c>
      <c r="Y174" s="1330">
        <v>1E-4</v>
      </c>
      <c r="Z174" s="1377"/>
      <c r="AA174" s="453"/>
      <c r="AB174" s="479"/>
      <c r="AC174" s="479"/>
      <c r="AD174" s="479"/>
      <c r="AE174" s="479"/>
      <c r="AF174" s="479"/>
      <c r="AG174" s="479"/>
    </row>
    <row r="175" spans="1:35" s="450" customFormat="1" ht="16.5" customHeight="1" x14ac:dyDescent="0.2">
      <c r="A175" s="483"/>
      <c r="B175" s="1303" t="s">
        <v>102</v>
      </c>
      <c r="C175" s="1304">
        <v>880</v>
      </c>
      <c r="D175" s="1305">
        <v>7.5</v>
      </c>
      <c r="E175" s="1305">
        <v>12</v>
      </c>
      <c r="F175" s="1306">
        <v>154</v>
      </c>
      <c r="G175" s="1307">
        <v>0.28999999999999998</v>
      </c>
      <c r="H175" s="1308">
        <v>165</v>
      </c>
      <c r="I175" s="1309">
        <v>-2</v>
      </c>
      <c r="J175" s="1310">
        <v>0.13</v>
      </c>
      <c r="K175" s="1308">
        <v>132</v>
      </c>
      <c r="L175" s="1308">
        <v>265</v>
      </c>
      <c r="M175" s="1308">
        <v>488</v>
      </c>
      <c r="N175" s="1308">
        <v>327</v>
      </c>
      <c r="O175" s="1308">
        <v>80</v>
      </c>
      <c r="P175" s="1308">
        <v>24</v>
      </c>
      <c r="Q175" s="1308">
        <v>104</v>
      </c>
      <c r="R175" s="1315">
        <v>0</v>
      </c>
      <c r="S175" s="1314">
        <v>69</v>
      </c>
      <c r="T175" s="1305">
        <v>8.6999999999999993</v>
      </c>
      <c r="U175" s="1305">
        <v>7.1</v>
      </c>
      <c r="V175" s="1305">
        <v>1.7</v>
      </c>
      <c r="W175" s="1305">
        <v>2.5</v>
      </c>
      <c r="X175" s="1313">
        <v>10.199999999999999</v>
      </c>
      <c r="Y175" s="1359" t="s">
        <v>369</v>
      </c>
      <c r="Z175" s="1397"/>
      <c r="AA175" s="485" t="str">
        <f t="shared" ref="AA175:AA180" si="34">IF(COUNTA(B175:Y175)&lt;21,"x","")</f>
        <v/>
      </c>
      <c r="AB175" s="506"/>
      <c r="AC175" s="506"/>
      <c r="AD175" s="506"/>
      <c r="AE175" s="482"/>
      <c r="AF175" s="482"/>
      <c r="AG175" s="496"/>
    </row>
    <row r="176" spans="1:35" s="450" customFormat="1" ht="16.5" customHeight="1" x14ac:dyDescent="0.2">
      <c r="A176" s="483"/>
      <c r="B176" s="1303" t="s">
        <v>103</v>
      </c>
      <c r="C176" s="1304">
        <v>880</v>
      </c>
      <c r="D176" s="1305">
        <v>7.5</v>
      </c>
      <c r="E176" s="1305">
        <v>12</v>
      </c>
      <c r="F176" s="1306">
        <v>200</v>
      </c>
      <c r="G176" s="1307">
        <v>0.3</v>
      </c>
      <c r="H176" s="1308">
        <v>182</v>
      </c>
      <c r="I176" s="1309">
        <v>3</v>
      </c>
      <c r="J176" s="1310">
        <v>0.17</v>
      </c>
      <c r="K176" s="1308">
        <v>145</v>
      </c>
      <c r="L176" s="1308">
        <v>264</v>
      </c>
      <c r="M176" s="1308">
        <v>439</v>
      </c>
      <c r="N176" s="1308">
        <v>282</v>
      </c>
      <c r="O176" s="1308">
        <v>73</v>
      </c>
      <c r="P176" s="1308">
        <v>26</v>
      </c>
      <c r="Q176" s="1308">
        <v>105</v>
      </c>
      <c r="R176" s="1315">
        <v>0</v>
      </c>
      <c r="S176" s="1314">
        <v>71</v>
      </c>
      <c r="T176" s="1305">
        <v>9.5</v>
      </c>
      <c r="U176" s="1305">
        <v>7.3</v>
      </c>
      <c r="V176" s="1305">
        <v>2.6</v>
      </c>
      <c r="W176" s="1305">
        <v>4</v>
      </c>
      <c r="X176" s="1313">
        <v>10.6</v>
      </c>
      <c r="Y176" s="1359" t="s">
        <v>369</v>
      </c>
      <c r="Z176" s="1397"/>
      <c r="AA176" s="485" t="str">
        <f t="shared" si="34"/>
        <v/>
      </c>
      <c r="AB176" s="506"/>
      <c r="AC176" s="506"/>
      <c r="AD176" s="507"/>
      <c r="AE176" s="482"/>
      <c r="AF176" s="482"/>
      <c r="AG176" s="496"/>
    </row>
    <row r="177" spans="1:33" s="450" customFormat="1" ht="16.5" customHeight="1" x14ac:dyDescent="0.2">
      <c r="A177" s="483"/>
      <c r="B177" s="1303" t="s">
        <v>104</v>
      </c>
      <c r="C177" s="1304">
        <v>880</v>
      </c>
      <c r="D177" s="1305">
        <v>7.6</v>
      </c>
      <c r="E177" s="1305">
        <v>12.1</v>
      </c>
      <c r="F177" s="1306">
        <v>196</v>
      </c>
      <c r="G177" s="1307">
        <v>0.37</v>
      </c>
      <c r="H177" s="1308">
        <v>206</v>
      </c>
      <c r="I177" s="1309">
        <v>-1</v>
      </c>
      <c r="J177" s="1310">
        <v>0.17</v>
      </c>
      <c r="K177" s="1308">
        <v>137</v>
      </c>
      <c r="L177" s="1308">
        <v>275</v>
      </c>
      <c r="M177" s="1308">
        <v>429</v>
      </c>
      <c r="N177" s="1308">
        <v>265</v>
      </c>
      <c r="O177" s="1308">
        <v>72</v>
      </c>
      <c r="P177" s="1308">
        <v>28</v>
      </c>
      <c r="Q177" s="1308">
        <v>98</v>
      </c>
      <c r="R177" s="1315">
        <v>0</v>
      </c>
      <c r="S177" s="1314">
        <v>72</v>
      </c>
      <c r="T177" s="1305">
        <v>9.1</v>
      </c>
      <c r="U177" s="1305">
        <v>6.7</v>
      </c>
      <c r="V177" s="1305">
        <v>2.9</v>
      </c>
      <c r="W177" s="1305">
        <v>3.8</v>
      </c>
      <c r="X177" s="1313">
        <v>11.8</v>
      </c>
      <c r="Y177" s="1359" t="s">
        <v>369</v>
      </c>
      <c r="Z177" s="1397"/>
      <c r="AA177" s="485" t="str">
        <f t="shared" si="34"/>
        <v/>
      </c>
      <c r="AB177" s="482"/>
      <c r="AC177" s="507"/>
      <c r="AD177" s="507"/>
      <c r="AE177" s="482"/>
      <c r="AF177" s="482"/>
      <c r="AG177" s="496"/>
    </row>
    <row r="178" spans="1:33" s="450" customFormat="1" ht="16.5" customHeight="1" x14ac:dyDescent="0.2">
      <c r="A178" s="483"/>
      <c r="B178" s="1303" t="s">
        <v>105</v>
      </c>
      <c r="C178" s="1304">
        <v>880</v>
      </c>
      <c r="D178" s="1305">
        <v>7.9</v>
      </c>
      <c r="E178" s="1305">
        <v>12.6</v>
      </c>
      <c r="F178" s="1306">
        <v>229</v>
      </c>
      <c r="G178" s="1307">
        <v>0.3</v>
      </c>
      <c r="H178" s="1308">
        <v>195</v>
      </c>
      <c r="I178" s="1309">
        <v>5</v>
      </c>
      <c r="J178" s="1310">
        <v>0.11</v>
      </c>
      <c r="K178" s="1308">
        <v>110</v>
      </c>
      <c r="L178" s="1308">
        <v>205</v>
      </c>
      <c r="M178" s="1308">
        <v>475</v>
      </c>
      <c r="N178" s="1308">
        <v>348</v>
      </c>
      <c r="O178" s="1308">
        <v>62</v>
      </c>
      <c r="P178" s="1308">
        <v>26</v>
      </c>
      <c r="Q178" s="1308">
        <v>75</v>
      </c>
      <c r="R178" s="1315">
        <v>0</v>
      </c>
      <c r="S178" s="1314">
        <v>65</v>
      </c>
      <c r="T178" s="1305">
        <v>8.3000000000000007</v>
      </c>
      <c r="U178" s="1305">
        <v>6.7</v>
      </c>
      <c r="V178" s="1305">
        <v>2.4</v>
      </c>
      <c r="W178" s="1305">
        <v>3.6</v>
      </c>
      <c r="X178" s="1313">
        <v>11.3</v>
      </c>
      <c r="Y178" s="1359" t="s">
        <v>369</v>
      </c>
      <c r="Z178" s="1397"/>
      <c r="AA178" s="485" t="str">
        <f t="shared" si="34"/>
        <v/>
      </c>
      <c r="AB178" s="506"/>
      <c r="AC178" s="507"/>
      <c r="AD178" s="507"/>
      <c r="AE178" s="507"/>
      <c r="AF178" s="507"/>
      <c r="AG178" s="496"/>
    </row>
    <row r="179" spans="1:33" s="450" customFormat="1" ht="16.5" customHeight="1" x14ac:dyDescent="0.2">
      <c r="A179" s="483"/>
      <c r="B179" s="1303" t="s">
        <v>106</v>
      </c>
      <c r="C179" s="1304">
        <v>880</v>
      </c>
      <c r="D179" s="1305">
        <v>7.5</v>
      </c>
      <c r="E179" s="1305">
        <v>12</v>
      </c>
      <c r="F179" s="1306">
        <v>234</v>
      </c>
      <c r="G179" s="1307">
        <v>0.28000000000000003</v>
      </c>
      <c r="H179" s="1308">
        <v>193</v>
      </c>
      <c r="I179" s="1309">
        <v>7</v>
      </c>
      <c r="J179" s="1310">
        <v>0.17</v>
      </c>
      <c r="K179" s="1308">
        <v>146</v>
      </c>
      <c r="L179" s="1308">
        <v>268</v>
      </c>
      <c r="M179" s="1308">
        <v>398</v>
      </c>
      <c r="N179" s="1308">
        <v>215</v>
      </c>
      <c r="O179" s="1308">
        <v>81</v>
      </c>
      <c r="P179" s="1308">
        <v>24</v>
      </c>
      <c r="Q179" s="1308">
        <v>107</v>
      </c>
      <c r="R179" s="1315">
        <v>0</v>
      </c>
      <c r="S179" s="1314">
        <v>76</v>
      </c>
      <c r="T179" s="1305">
        <v>9.6</v>
      </c>
      <c r="U179" s="1305">
        <v>7.2</v>
      </c>
      <c r="V179" s="1305">
        <v>2.8</v>
      </c>
      <c r="W179" s="1305">
        <v>4</v>
      </c>
      <c r="X179" s="1313">
        <v>12.9</v>
      </c>
      <c r="Y179" s="1359" t="s">
        <v>369</v>
      </c>
      <c r="Z179" s="1397"/>
      <c r="AA179" s="485" t="str">
        <f t="shared" si="34"/>
        <v/>
      </c>
      <c r="AB179" s="482"/>
      <c r="AC179" s="507"/>
      <c r="AD179" s="507"/>
      <c r="AE179" s="507"/>
      <c r="AF179" s="507"/>
      <c r="AG179" s="496"/>
    </row>
    <row r="180" spans="1:33" s="450" customFormat="1" ht="16.5" customHeight="1" x14ac:dyDescent="0.2">
      <c r="A180" s="483"/>
      <c r="B180" s="1303" t="s">
        <v>107</v>
      </c>
      <c r="C180" s="1304">
        <v>880</v>
      </c>
      <c r="D180" s="1305">
        <v>6.9</v>
      </c>
      <c r="E180" s="1305">
        <v>11.2</v>
      </c>
      <c r="F180" s="1306">
        <v>269</v>
      </c>
      <c r="G180" s="1307">
        <v>0.31</v>
      </c>
      <c r="H180" s="1308">
        <v>198</v>
      </c>
      <c r="I180" s="1309">
        <v>12</v>
      </c>
      <c r="J180" s="1310">
        <v>0.34</v>
      </c>
      <c r="K180" s="1308">
        <v>202</v>
      </c>
      <c r="L180" s="1308">
        <v>351</v>
      </c>
      <c r="M180" s="1308">
        <v>263</v>
      </c>
      <c r="N180" s="1308">
        <v>17</v>
      </c>
      <c r="O180" s="1308">
        <v>92</v>
      </c>
      <c r="P180" s="1308">
        <v>29</v>
      </c>
      <c r="Q180" s="1308">
        <v>145</v>
      </c>
      <c r="R180" s="1315">
        <v>0</v>
      </c>
      <c r="S180" s="1314">
        <v>90</v>
      </c>
      <c r="T180" s="1305">
        <v>10.7</v>
      </c>
      <c r="U180" s="1305">
        <v>9.1</v>
      </c>
      <c r="V180" s="1305">
        <v>3.5</v>
      </c>
      <c r="W180" s="1305">
        <v>5.0999999999999996</v>
      </c>
      <c r="X180" s="1313">
        <v>13.8</v>
      </c>
      <c r="Y180" s="1359" t="s">
        <v>369</v>
      </c>
      <c r="Z180" s="1397"/>
      <c r="AA180" s="485" t="str">
        <f t="shared" si="34"/>
        <v/>
      </c>
      <c r="AB180" s="482"/>
      <c r="AC180" s="507"/>
      <c r="AD180" s="507"/>
      <c r="AE180" s="507"/>
      <c r="AF180" s="507"/>
      <c r="AG180" s="496"/>
    </row>
    <row r="181" spans="1:33" s="450" customFormat="1" ht="16.5" customHeight="1" x14ac:dyDescent="0.2">
      <c r="A181" s="488"/>
      <c r="B181" s="1318"/>
      <c r="C181" s="1319"/>
      <c r="D181" s="1320"/>
      <c r="E181" s="1320"/>
      <c r="F181" s="1321"/>
      <c r="G181" s="1320"/>
      <c r="H181" s="1320"/>
      <c r="I181" s="1320"/>
      <c r="J181" s="1320"/>
      <c r="K181" s="1320"/>
      <c r="L181" s="1320"/>
      <c r="M181" s="1320"/>
      <c r="N181" s="1320"/>
      <c r="O181" s="1322"/>
      <c r="P181" s="1322"/>
      <c r="Q181" s="1320"/>
      <c r="R181" s="1320"/>
      <c r="S181" s="1319"/>
      <c r="T181" s="1320"/>
      <c r="U181" s="1323"/>
      <c r="V181" s="1323"/>
      <c r="W181" s="1323"/>
      <c r="X181" s="1324"/>
      <c r="Y181" s="1324"/>
      <c r="Z181" s="1376"/>
      <c r="AA181" s="485"/>
      <c r="AB181" s="482"/>
      <c r="AC181" s="507"/>
      <c r="AD181" s="507"/>
      <c r="AE181" s="507"/>
      <c r="AF181" s="507"/>
      <c r="AG181" s="496"/>
    </row>
    <row r="182" spans="1:33" s="450" customFormat="1" ht="17.25" customHeight="1" x14ac:dyDescent="0.2">
      <c r="A182" s="472" t="s">
        <v>216</v>
      </c>
      <c r="B182" s="1325"/>
      <c r="C182" s="1326">
        <v>1E-4</v>
      </c>
      <c r="D182" s="1327">
        <v>1E-4</v>
      </c>
      <c r="E182" s="1327">
        <v>1E-4</v>
      </c>
      <c r="F182" s="1328">
        <v>1E-4</v>
      </c>
      <c r="G182" s="1327">
        <v>1E-4</v>
      </c>
      <c r="H182" s="1327">
        <v>1E-4</v>
      </c>
      <c r="I182" s="1327">
        <v>1E-4</v>
      </c>
      <c r="J182" s="1327">
        <v>1E-4</v>
      </c>
      <c r="K182" s="1327">
        <v>1E-4</v>
      </c>
      <c r="L182" s="1327">
        <v>1E-4</v>
      </c>
      <c r="M182" s="1327">
        <v>1E-4</v>
      </c>
      <c r="N182" s="1327">
        <v>1E-4</v>
      </c>
      <c r="O182" s="1327">
        <v>1E-4</v>
      </c>
      <c r="P182" s="1327">
        <v>1E-4</v>
      </c>
      <c r="Q182" s="1327">
        <v>1E-4</v>
      </c>
      <c r="R182" s="1327">
        <v>1E-4</v>
      </c>
      <c r="S182" s="1326">
        <v>1E-4</v>
      </c>
      <c r="T182" s="1327">
        <v>1E-4</v>
      </c>
      <c r="U182" s="1329">
        <v>1E-4</v>
      </c>
      <c r="V182" s="1329">
        <v>1E-4</v>
      </c>
      <c r="W182" s="1329">
        <v>1E-4</v>
      </c>
      <c r="X182" s="1330">
        <v>1E-4</v>
      </c>
      <c r="Y182" s="1330">
        <v>1E-4</v>
      </c>
      <c r="Z182" s="1377"/>
      <c r="AA182" s="453"/>
      <c r="AB182" s="479"/>
      <c r="AC182" s="479"/>
      <c r="AD182" s="479"/>
      <c r="AE182" s="479"/>
      <c r="AF182" s="479"/>
      <c r="AG182" s="479"/>
    </row>
    <row r="183" spans="1:33" s="450" customFormat="1" ht="17.25" customHeight="1" x14ac:dyDescent="0.2">
      <c r="A183" s="480"/>
      <c r="B183" s="1342" t="s">
        <v>204</v>
      </c>
      <c r="C183" s="1304">
        <v>970</v>
      </c>
      <c r="D183" s="1305">
        <v>20.8</v>
      </c>
      <c r="E183" s="1305">
        <v>30.7</v>
      </c>
      <c r="F183" s="1306">
        <v>0</v>
      </c>
      <c r="G183" s="1307">
        <v>0</v>
      </c>
      <c r="H183" s="1308">
        <v>0</v>
      </c>
      <c r="I183" s="1309" t="str">
        <f t="shared" ref="I183:I196" si="35">IF((F183-H183)/6.25&lt;0,ROUND((F183-H183)/6.25,0),"+"&amp;ROUND(((F183-H183)/6.25),0))</f>
        <v>+0</v>
      </c>
      <c r="J183" s="1310">
        <v>1</v>
      </c>
      <c r="K183" s="1308">
        <v>0</v>
      </c>
      <c r="L183" s="1308">
        <v>0</v>
      </c>
      <c r="M183" s="1308">
        <f>IF(AND(S183&lt;&gt;"",F183&lt;&gt;"",L183&lt;&gt;"",P183&lt;&gt;""),1000-F183-L183-P183-S183,"Fehler")</f>
        <v>0</v>
      </c>
      <c r="N183" s="1308">
        <v>0</v>
      </c>
      <c r="O183" s="1311">
        <v>0</v>
      </c>
      <c r="P183" s="1311">
        <v>875</v>
      </c>
      <c r="Q183" s="1312">
        <v>0</v>
      </c>
      <c r="R183" s="1315">
        <v>0</v>
      </c>
      <c r="S183" s="1304">
        <v>125</v>
      </c>
      <c r="T183" s="1305">
        <v>80</v>
      </c>
      <c r="U183" s="1305">
        <v>0</v>
      </c>
      <c r="V183" s="1305">
        <v>0</v>
      </c>
      <c r="W183" s="1305">
        <v>0</v>
      </c>
      <c r="X183" s="1313">
        <v>0</v>
      </c>
      <c r="Y183" s="1359" t="s">
        <v>369</v>
      </c>
      <c r="Z183" s="1397"/>
      <c r="AA183" s="485" t="str">
        <f t="shared" ref="AA183:AA197" si="36">IF(COUNTA(B183:Y183)&lt;21,"x","")</f>
        <v/>
      </c>
      <c r="AB183" s="482"/>
      <c r="AC183" s="482"/>
      <c r="AD183" s="482"/>
      <c r="AE183" s="482"/>
      <c r="AF183" s="482"/>
      <c r="AG183" s="482"/>
    </row>
    <row r="184" spans="1:33" s="450" customFormat="1" ht="17.25" customHeight="1" x14ac:dyDescent="0.2">
      <c r="A184" s="480"/>
      <c r="B184" s="1342" t="s">
        <v>230</v>
      </c>
      <c r="C184" s="1304">
        <v>990</v>
      </c>
      <c r="D184" s="1305">
        <v>20.8</v>
      </c>
      <c r="E184" s="1305">
        <v>30.7</v>
      </c>
      <c r="F184" s="1306">
        <v>0</v>
      </c>
      <c r="G184" s="1307">
        <v>0</v>
      </c>
      <c r="H184" s="1308">
        <v>0</v>
      </c>
      <c r="I184" s="1309" t="str">
        <f>IF((F184-H184)/6.25&lt;0,ROUND((F184-H184)/6.25,0),"+"&amp;ROUND(((F184-H184)/6.25),0))</f>
        <v>+0</v>
      </c>
      <c r="J184" s="1310">
        <v>1</v>
      </c>
      <c r="K184" s="1308">
        <v>0</v>
      </c>
      <c r="L184" s="1308">
        <v>0</v>
      </c>
      <c r="M184" s="1308">
        <f>IF(AND(S184&lt;&gt;"",F184&lt;&gt;"",L184&lt;&gt;"",P184&lt;&gt;""),1000-F184-L184-P184-S184,"Fehler")</f>
        <v>0</v>
      </c>
      <c r="N184" s="1308">
        <v>0</v>
      </c>
      <c r="O184" s="1311">
        <v>0</v>
      </c>
      <c r="P184" s="1311">
        <v>1000</v>
      </c>
      <c r="Q184" s="1312">
        <v>0</v>
      </c>
      <c r="R184" s="1315">
        <v>0</v>
      </c>
      <c r="S184" s="1304">
        <v>0</v>
      </c>
      <c r="T184" s="1305">
        <v>0</v>
      </c>
      <c r="U184" s="1305">
        <v>0</v>
      </c>
      <c r="V184" s="1305">
        <v>0</v>
      </c>
      <c r="W184" s="1305">
        <v>0</v>
      </c>
      <c r="X184" s="1313">
        <v>0</v>
      </c>
      <c r="Y184" s="1359" t="s">
        <v>369</v>
      </c>
      <c r="Z184" s="1397"/>
      <c r="AA184" s="485"/>
      <c r="AB184" s="482"/>
      <c r="AC184" s="482"/>
      <c r="AD184" s="482"/>
      <c r="AE184" s="482"/>
      <c r="AF184" s="482"/>
      <c r="AG184" s="482"/>
    </row>
    <row r="185" spans="1:33" s="450" customFormat="1" ht="17.25" customHeight="1" x14ac:dyDescent="0.2">
      <c r="A185" s="483"/>
      <c r="B185" s="1303" t="s">
        <v>113</v>
      </c>
      <c r="C185" s="1304">
        <v>990</v>
      </c>
      <c r="D185" s="1305">
        <v>0</v>
      </c>
      <c r="E185" s="1305">
        <v>0</v>
      </c>
      <c r="F185" s="1306">
        <f>460*6.25</f>
        <v>2875</v>
      </c>
      <c r="G185" s="1307">
        <v>0</v>
      </c>
      <c r="H185" s="1308">
        <v>0</v>
      </c>
      <c r="I185" s="1309" t="str">
        <f t="shared" si="35"/>
        <v>+460</v>
      </c>
      <c r="J185" s="1310">
        <v>1</v>
      </c>
      <c r="K185" s="1308">
        <v>0</v>
      </c>
      <c r="L185" s="1308">
        <v>0</v>
      </c>
      <c r="M185" s="1308">
        <v>0</v>
      </c>
      <c r="N185" s="1308">
        <v>0</v>
      </c>
      <c r="O185" s="1308">
        <v>0</v>
      </c>
      <c r="P185" s="1343">
        <v>0</v>
      </c>
      <c r="Q185" s="1308">
        <v>0</v>
      </c>
      <c r="R185" s="1315">
        <v>0</v>
      </c>
      <c r="S185" s="1304">
        <v>0</v>
      </c>
      <c r="T185" s="1305">
        <v>0</v>
      </c>
      <c r="U185" s="1305">
        <v>0</v>
      </c>
      <c r="V185" s="1305">
        <v>0</v>
      </c>
      <c r="W185" s="1305">
        <v>0</v>
      </c>
      <c r="X185" s="1313">
        <v>0</v>
      </c>
      <c r="Y185" s="1359" t="s">
        <v>369</v>
      </c>
      <c r="Z185" s="1397"/>
      <c r="AA185" s="485" t="str">
        <f t="shared" si="36"/>
        <v/>
      </c>
      <c r="AB185" s="482"/>
      <c r="AC185" s="482"/>
      <c r="AD185" s="482"/>
      <c r="AE185" s="482"/>
      <c r="AF185" s="482"/>
      <c r="AG185" s="482"/>
    </row>
    <row r="186" spans="1:33" s="450" customFormat="1" ht="17.25" customHeight="1" x14ac:dyDescent="0.2">
      <c r="A186" s="483"/>
      <c r="B186" s="1303" t="s">
        <v>111</v>
      </c>
      <c r="C186" s="1304">
        <v>960</v>
      </c>
      <c r="D186" s="1305">
        <v>0</v>
      </c>
      <c r="E186" s="1305">
        <v>0</v>
      </c>
      <c r="F186" s="1306">
        <v>0</v>
      </c>
      <c r="G186" s="1307">
        <v>0</v>
      </c>
      <c r="H186" s="1308">
        <v>0</v>
      </c>
      <c r="I186" s="1309" t="str">
        <f t="shared" si="35"/>
        <v>+0</v>
      </c>
      <c r="J186" s="1310">
        <v>1</v>
      </c>
      <c r="K186" s="1308">
        <v>0</v>
      </c>
      <c r="L186" s="1308">
        <v>0</v>
      </c>
      <c r="M186" s="1308">
        <f t="shared" ref="M186:M192" si="37">IF(AND(S186&lt;&gt;"",F186&lt;&gt;"",L186&lt;&gt;"",P186&lt;&gt;""),1000-F186-L186-P186-S186,"Fehler")</f>
        <v>0</v>
      </c>
      <c r="N186" s="1308">
        <v>0</v>
      </c>
      <c r="O186" s="1308">
        <v>0</v>
      </c>
      <c r="P186" s="1343">
        <v>0</v>
      </c>
      <c r="Q186" s="1308">
        <v>0</v>
      </c>
      <c r="R186" s="1315">
        <v>0</v>
      </c>
      <c r="S186" s="1304">
        <v>1000</v>
      </c>
      <c r="T186" s="1305">
        <v>381</v>
      </c>
      <c r="U186" s="1305">
        <v>0.4</v>
      </c>
      <c r="V186" s="1305">
        <v>0</v>
      </c>
      <c r="W186" s="1305">
        <v>1.6</v>
      </c>
      <c r="X186" s="1313">
        <v>0</v>
      </c>
      <c r="Y186" s="1359" t="s">
        <v>369</v>
      </c>
      <c r="Z186" s="1397"/>
      <c r="AA186" s="485" t="str">
        <f t="shared" si="36"/>
        <v/>
      </c>
      <c r="AB186" s="482"/>
      <c r="AC186" s="482"/>
      <c r="AD186" s="482"/>
      <c r="AE186" s="482"/>
      <c r="AF186" s="482"/>
      <c r="AG186" s="482"/>
    </row>
    <row r="187" spans="1:33" s="450" customFormat="1" ht="17.25" customHeight="1" x14ac:dyDescent="0.2">
      <c r="A187" s="483"/>
      <c r="B187" s="1303" t="s">
        <v>237</v>
      </c>
      <c r="C187" s="1304">
        <v>980</v>
      </c>
      <c r="D187" s="1305">
        <v>0</v>
      </c>
      <c r="E187" s="1305">
        <v>0</v>
      </c>
      <c r="F187" s="1306">
        <v>0</v>
      </c>
      <c r="G187" s="1307">
        <v>0</v>
      </c>
      <c r="H187" s="1308">
        <v>0</v>
      </c>
      <c r="I187" s="1309" t="str">
        <f>IF((F187-H187)/6.25&lt;0,ROUND((F187-H187)/6.25,0),"+"&amp;ROUND(((F187-H187)/6.25),0))</f>
        <v>+0</v>
      </c>
      <c r="J187" s="1310">
        <v>1</v>
      </c>
      <c r="K187" s="1308">
        <v>0</v>
      </c>
      <c r="L187" s="1308">
        <v>0</v>
      </c>
      <c r="M187" s="1308">
        <f t="shared" si="37"/>
        <v>8</v>
      </c>
      <c r="N187" s="1308">
        <v>0</v>
      </c>
      <c r="O187" s="1308">
        <v>0</v>
      </c>
      <c r="P187" s="1311">
        <v>2</v>
      </c>
      <c r="Q187" s="1308">
        <v>5</v>
      </c>
      <c r="R187" s="1315">
        <v>0</v>
      </c>
      <c r="S187" s="1304">
        <v>990</v>
      </c>
      <c r="T187" s="1305">
        <f>10/0.98</f>
        <v>10.204081632653061</v>
      </c>
      <c r="U187" s="1305">
        <f>80/0.98</f>
        <v>81.632653061224488</v>
      </c>
      <c r="V187" s="1305">
        <f>80/0.98</f>
        <v>81.632653061224488</v>
      </c>
      <c r="W187" s="1305">
        <f>140/0.98</f>
        <v>142.85714285714286</v>
      </c>
      <c r="X187" s="1313">
        <v>5</v>
      </c>
      <c r="Y187" s="1359" t="s">
        <v>369</v>
      </c>
      <c r="Z187" s="1397"/>
      <c r="AA187" s="485"/>
      <c r="AB187" s="482"/>
      <c r="AC187" s="482"/>
      <c r="AD187" s="482"/>
      <c r="AE187" s="482"/>
      <c r="AF187" s="482"/>
      <c r="AG187" s="482"/>
    </row>
    <row r="188" spans="1:33" s="450" customFormat="1" ht="17.25" customHeight="1" x14ac:dyDescent="0.2">
      <c r="A188" s="483"/>
      <c r="B188" s="1303" t="s">
        <v>108</v>
      </c>
      <c r="C188" s="1304">
        <v>980</v>
      </c>
      <c r="D188" s="1305">
        <v>0</v>
      </c>
      <c r="E188" s="1305">
        <v>0</v>
      </c>
      <c r="F188" s="1306">
        <v>0</v>
      </c>
      <c r="G188" s="1307">
        <v>0</v>
      </c>
      <c r="H188" s="1308">
        <v>0</v>
      </c>
      <c r="I188" s="1309" t="str">
        <f>IF((F188-H188)/6.25&lt;0,ROUND((F188-H188)/6.25,0),"+"&amp;ROUND(((F188-H188)/6.25),0))</f>
        <v>+0</v>
      </c>
      <c r="J188" s="1310">
        <v>1</v>
      </c>
      <c r="K188" s="1308">
        <v>0</v>
      </c>
      <c r="L188" s="1308">
        <v>0</v>
      </c>
      <c r="M188" s="1308">
        <f t="shared" si="37"/>
        <v>8</v>
      </c>
      <c r="N188" s="1308">
        <v>0</v>
      </c>
      <c r="O188" s="1308">
        <v>0</v>
      </c>
      <c r="P188" s="1311">
        <v>2</v>
      </c>
      <c r="Q188" s="1308">
        <v>5</v>
      </c>
      <c r="R188" s="1315">
        <v>0</v>
      </c>
      <c r="S188" s="1304">
        <v>990</v>
      </c>
      <c r="T188" s="1305">
        <f>100/0.98</f>
        <v>102.04081632653062</v>
      </c>
      <c r="U188" s="1305">
        <f>120/0.98</f>
        <v>122.44897959183673</v>
      </c>
      <c r="V188" s="1305">
        <v>106</v>
      </c>
      <c r="W188" s="1305">
        <f>32/0.98</f>
        <v>32.653061224489797</v>
      </c>
      <c r="X188" s="1313">
        <v>5</v>
      </c>
      <c r="Y188" s="1359" t="s">
        <v>369</v>
      </c>
      <c r="Z188" s="1397"/>
      <c r="AA188" s="485" t="str">
        <f>IF(COUNTA(B188:Y188)&lt;21,"x","")</f>
        <v/>
      </c>
      <c r="AB188" s="482"/>
      <c r="AC188" s="482"/>
      <c r="AD188" s="482"/>
      <c r="AE188" s="482"/>
      <c r="AF188" s="482"/>
      <c r="AG188" s="482"/>
    </row>
    <row r="189" spans="1:33" s="450" customFormat="1" ht="17.25" customHeight="1" x14ac:dyDescent="0.2">
      <c r="A189" s="483"/>
      <c r="B189" s="1303" t="s">
        <v>109</v>
      </c>
      <c r="C189" s="1304">
        <v>980</v>
      </c>
      <c r="D189" s="1305">
        <v>0</v>
      </c>
      <c r="E189" s="1305">
        <v>0</v>
      </c>
      <c r="F189" s="1306">
        <v>0</v>
      </c>
      <c r="G189" s="1307">
        <v>0</v>
      </c>
      <c r="H189" s="1308">
        <v>0</v>
      </c>
      <c r="I189" s="1309" t="str">
        <f>IF((F189-H189)/6.25&lt;0,ROUND((F189-H189)/6.25,0),"+"&amp;ROUND(((F189-H189)/6.25),0))</f>
        <v>+0</v>
      </c>
      <c r="J189" s="1310">
        <v>1</v>
      </c>
      <c r="K189" s="1308">
        <v>0</v>
      </c>
      <c r="L189" s="1308">
        <v>0</v>
      </c>
      <c r="M189" s="1308">
        <f t="shared" si="37"/>
        <v>8</v>
      </c>
      <c r="N189" s="1308">
        <v>0</v>
      </c>
      <c r="O189" s="1308">
        <v>0</v>
      </c>
      <c r="P189" s="1311">
        <v>2</v>
      </c>
      <c r="Q189" s="1308">
        <v>5</v>
      </c>
      <c r="R189" s="1315">
        <v>0</v>
      </c>
      <c r="S189" s="1304">
        <v>990</v>
      </c>
      <c r="T189" s="1305">
        <f>140/0.98</f>
        <v>142.85714285714286</v>
      </c>
      <c r="U189" s="1305">
        <f>70/0.98</f>
        <v>71.428571428571431</v>
      </c>
      <c r="V189" s="1305">
        <f>106/0.98</f>
        <v>108.16326530612245</v>
      </c>
      <c r="W189" s="1305">
        <f>32/0.98</f>
        <v>32.653061224489797</v>
      </c>
      <c r="X189" s="1313">
        <v>5</v>
      </c>
      <c r="Y189" s="1359" t="s">
        <v>369</v>
      </c>
      <c r="Z189" s="1397"/>
      <c r="AA189" s="485" t="str">
        <f>IF(COUNTA(B189:Y189)&lt;21,"x","")</f>
        <v/>
      </c>
      <c r="AB189" s="482"/>
      <c r="AC189" s="482"/>
      <c r="AD189" s="482"/>
      <c r="AE189" s="482"/>
      <c r="AF189" s="482"/>
      <c r="AG189" s="482"/>
    </row>
    <row r="190" spans="1:33" s="450" customFormat="1" ht="17.25" customHeight="1" x14ac:dyDescent="0.2">
      <c r="A190" s="483"/>
      <c r="B190" s="1303" t="s">
        <v>110</v>
      </c>
      <c r="C190" s="1304">
        <v>980</v>
      </c>
      <c r="D190" s="1305">
        <v>0</v>
      </c>
      <c r="E190" s="1305">
        <v>0</v>
      </c>
      <c r="F190" s="1306">
        <v>0</v>
      </c>
      <c r="G190" s="1307">
        <v>0</v>
      </c>
      <c r="H190" s="1308">
        <v>0</v>
      </c>
      <c r="I190" s="1309" t="str">
        <f t="shared" si="35"/>
        <v>+0</v>
      </c>
      <c r="J190" s="1310">
        <v>1</v>
      </c>
      <c r="K190" s="1308">
        <v>0</v>
      </c>
      <c r="L190" s="1308">
        <v>0</v>
      </c>
      <c r="M190" s="1308">
        <f t="shared" si="37"/>
        <v>8</v>
      </c>
      <c r="N190" s="1308">
        <v>0</v>
      </c>
      <c r="O190" s="1308">
        <v>0</v>
      </c>
      <c r="P190" s="1311">
        <v>2</v>
      </c>
      <c r="Q190" s="1308">
        <v>5</v>
      </c>
      <c r="R190" s="1315">
        <v>0</v>
      </c>
      <c r="S190" s="1304">
        <v>990</v>
      </c>
      <c r="T190" s="1305">
        <f>220/0.98</f>
        <v>224.48979591836735</v>
      </c>
      <c r="U190" s="1305">
        <f>70/0.98</f>
        <v>71.428571428571431</v>
      </c>
      <c r="V190" s="1305">
        <f>53/0.98</f>
        <v>54.081632653061227</v>
      </c>
      <c r="W190" s="1305">
        <f>11/0.98</f>
        <v>11.224489795918368</v>
      </c>
      <c r="X190" s="1313">
        <v>5</v>
      </c>
      <c r="Y190" s="1359" t="s">
        <v>369</v>
      </c>
      <c r="Z190" s="1397"/>
      <c r="AA190" s="485" t="str">
        <f t="shared" si="36"/>
        <v/>
      </c>
      <c r="AB190" s="482"/>
      <c r="AC190" s="482"/>
      <c r="AD190" s="482"/>
      <c r="AE190" s="482"/>
      <c r="AF190" s="482"/>
      <c r="AG190" s="482"/>
    </row>
    <row r="191" spans="1:33" s="450" customFormat="1" ht="17.25" customHeight="1" x14ac:dyDescent="0.2">
      <c r="A191" s="483"/>
      <c r="B191" s="1303" t="s">
        <v>238</v>
      </c>
      <c r="C191" s="1304">
        <v>980</v>
      </c>
      <c r="D191" s="1305">
        <v>0</v>
      </c>
      <c r="E191" s="1305">
        <v>0</v>
      </c>
      <c r="F191" s="1306">
        <v>0</v>
      </c>
      <c r="G191" s="1307">
        <v>0</v>
      </c>
      <c r="H191" s="1308">
        <v>0</v>
      </c>
      <c r="I191" s="1309" t="str">
        <f>IF((F191-H191)/6.25&lt;0,ROUND((F191-H191)/6.25,0),"+"&amp;ROUND(((F191-H191)/6.25),0))</f>
        <v>+0</v>
      </c>
      <c r="J191" s="1310">
        <v>1</v>
      </c>
      <c r="K191" s="1308">
        <v>0</v>
      </c>
      <c r="L191" s="1308">
        <v>0</v>
      </c>
      <c r="M191" s="1308">
        <f t="shared" si="37"/>
        <v>8</v>
      </c>
      <c r="N191" s="1308">
        <v>0</v>
      </c>
      <c r="O191" s="1308">
        <v>0</v>
      </c>
      <c r="P191" s="1311">
        <v>2</v>
      </c>
      <c r="Q191" s="1308">
        <v>5</v>
      </c>
      <c r="R191" s="1315">
        <v>0</v>
      </c>
      <c r="S191" s="1304">
        <v>990</v>
      </c>
      <c r="T191" s="1305">
        <f>250/0.98</f>
        <v>255.10204081632654</v>
      </c>
      <c r="U191" s="1305">
        <f>0/0.98</f>
        <v>0</v>
      </c>
      <c r="V191" s="1305">
        <f>90/0.98</f>
        <v>91.83673469387756</v>
      </c>
      <c r="W191" s="1305">
        <f>65/0.98</f>
        <v>66.326530612244895</v>
      </c>
      <c r="X191" s="1313">
        <v>5</v>
      </c>
      <c r="Y191" s="1359" t="s">
        <v>369</v>
      </c>
      <c r="Z191" s="1397"/>
      <c r="AA191" s="485"/>
      <c r="AB191" s="482"/>
      <c r="AC191" s="482"/>
      <c r="AD191" s="482"/>
      <c r="AE191" s="482"/>
      <c r="AF191" s="482"/>
      <c r="AG191" s="482"/>
    </row>
    <row r="192" spans="1:33" s="450" customFormat="1" ht="17.25" customHeight="1" x14ac:dyDescent="0.2">
      <c r="A192" s="483"/>
      <c r="B192" s="1303" t="s">
        <v>195</v>
      </c>
      <c r="C192" s="1304">
        <v>999</v>
      </c>
      <c r="D192" s="1305">
        <v>0</v>
      </c>
      <c r="E192" s="1305">
        <v>0</v>
      </c>
      <c r="F192" s="1306">
        <v>0</v>
      </c>
      <c r="G192" s="1307">
        <v>0</v>
      </c>
      <c r="H192" s="1308">
        <f>ROUND((11.93-(6.82*G192))*E192+1.03*G192*F192,0)</f>
        <v>0</v>
      </c>
      <c r="I192" s="1309" t="str">
        <f t="shared" si="35"/>
        <v>+0</v>
      </c>
      <c r="J192" s="1310">
        <v>7</v>
      </c>
      <c r="K192" s="1308">
        <v>0</v>
      </c>
      <c r="L192" s="1308">
        <v>0</v>
      </c>
      <c r="M192" s="1308">
        <f t="shared" si="37"/>
        <v>0</v>
      </c>
      <c r="N192" s="1308">
        <v>0</v>
      </c>
      <c r="O192" s="1308">
        <v>0</v>
      </c>
      <c r="P192" s="1311">
        <v>0</v>
      </c>
      <c r="Q192" s="1308">
        <v>5</v>
      </c>
      <c r="R192" s="1315">
        <v>0</v>
      </c>
      <c r="S192" s="1304">
        <v>1000</v>
      </c>
      <c r="T192" s="1305">
        <v>0</v>
      </c>
      <c r="U192" s="1305">
        <v>0</v>
      </c>
      <c r="V192" s="1305">
        <v>270</v>
      </c>
      <c r="W192" s="1305">
        <v>0</v>
      </c>
      <c r="X192" s="1313">
        <v>0</v>
      </c>
      <c r="Y192" s="1359" t="s">
        <v>369</v>
      </c>
      <c r="Z192" s="1397"/>
      <c r="AA192" s="485" t="str">
        <f t="shared" si="36"/>
        <v/>
      </c>
      <c r="AB192" s="482"/>
      <c r="AC192" s="482"/>
      <c r="AD192" s="482"/>
      <c r="AE192" s="482"/>
      <c r="AF192" s="482"/>
      <c r="AG192" s="482"/>
    </row>
    <row r="193" spans="1:35" s="450" customFormat="1" ht="17.25" customHeight="1" x14ac:dyDescent="0.2">
      <c r="A193" s="483"/>
      <c r="B193" s="1303" t="s">
        <v>194</v>
      </c>
      <c r="C193" s="1304">
        <v>990</v>
      </c>
      <c r="D193" s="1305">
        <v>9.8000000000000007</v>
      </c>
      <c r="E193" s="1305">
        <v>15.6</v>
      </c>
      <c r="F193" s="1306">
        <v>0</v>
      </c>
      <c r="G193" s="1307">
        <v>0</v>
      </c>
      <c r="H193" s="1308">
        <f>ROUND((11.93-(6.82*G193))*E193+1.03*G193*F193,0)</f>
        <v>186</v>
      </c>
      <c r="I193" s="1309">
        <f t="shared" si="35"/>
        <v>-30</v>
      </c>
      <c r="J193" s="1310">
        <v>-0.35</v>
      </c>
      <c r="K193" s="1308">
        <v>0</v>
      </c>
      <c r="L193" s="1308">
        <v>0</v>
      </c>
      <c r="M193" s="1308">
        <v>0</v>
      </c>
      <c r="N193" s="1308">
        <v>0</v>
      </c>
      <c r="O193" s="1308">
        <v>0</v>
      </c>
      <c r="P193" s="1311">
        <v>0</v>
      </c>
      <c r="Q193" s="1308">
        <v>0</v>
      </c>
      <c r="R193" s="1315">
        <v>0</v>
      </c>
      <c r="S193" s="1304">
        <v>0</v>
      </c>
      <c r="T193" s="1305">
        <v>0</v>
      </c>
      <c r="U193" s="1305">
        <v>0</v>
      </c>
      <c r="V193" s="1305">
        <v>0</v>
      </c>
      <c r="W193" s="1305">
        <v>0</v>
      </c>
      <c r="X193" s="1313">
        <v>0</v>
      </c>
      <c r="Y193" s="1359" t="s">
        <v>369</v>
      </c>
      <c r="Z193" s="1397"/>
      <c r="AA193" s="485" t="str">
        <f t="shared" si="36"/>
        <v/>
      </c>
      <c r="AB193" s="482"/>
      <c r="AC193" s="482"/>
      <c r="AD193" s="482"/>
      <c r="AE193" s="482"/>
      <c r="AF193" s="482"/>
      <c r="AG193" s="482"/>
    </row>
    <row r="194" spans="1:35" s="450" customFormat="1" ht="17.25" customHeight="1" x14ac:dyDescent="0.2">
      <c r="A194" s="483"/>
      <c r="B194" s="1303" t="s">
        <v>234</v>
      </c>
      <c r="C194" s="1304">
        <v>998</v>
      </c>
      <c r="D194" s="1305">
        <v>10.5</v>
      </c>
      <c r="E194" s="1305">
        <v>12.5</v>
      </c>
      <c r="F194" s="1306">
        <v>0</v>
      </c>
      <c r="G194" s="1307">
        <v>1</v>
      </c>
      <c r="H194" s="1308">
        <f>ROUND((11.93-(6.82*G194))*E194+1.03*G194*F194,0)</f>
        <v>64</v>
      </c>
      <c r="I194" s="1309">
        <f>IF((F194-H194)/6.25&lt;0,ROUND((F194-H194)/6.25,0),"+"&amp;ROUND(((F194-H194)/6.25),0))</f>
        <v>-10</v>
      </c>
      <c r="J194" s="1310">
        <v>-0.35</v>
      </c>
      <c r="K194" s="1308">
        <v>0</v>
      </c>
      <c r="L194" s="1308">
        <v>0</v>
      </c>
      <c r="M194" s="1308">
        <v>0</v>
      </c>
      <c r="N194" s="1308">
        <v>0</v>
      </c>
      <c r="O194" s="1308">
        <v>855</v>
      </c>
      <c r="P194" s="1311">
        <v>94</v>
      </c>
      <c r="Q194" s="1308">
        <v>0</v>
      </c>
      <c r="R194" s="1315">
        <v>0</v>
      </c>
      <c r="S194" s="1304">
        <v>50</v>
      </c>
      <c r="T194" s="1305">
        <v>0</v>
      </c>
      <c r="U194" s="1305">
        <v>0</v>
      </c>
      <c r="V194" s="1305">
        <v>18</v>
      </c>
      <c r="W194" s="1305">
        <v>0</v>
      </c>
      <c r="X194" s="1313">
        <v>0</v>
      </c>
      <c r="Y194" s="1359" t="s">
        <v>369</v>
      </c>
      <c r="Z194" s="1397"/>
      <c r="AA194" s="485"/>
      <c r="AB194" s="482"/>
      <c r="AC194" s="482"/>
      <c r="AD194" s="482"/>
      <c r="AE194" s="482"/>
      <c r="AF194" s="482"/>
      <c r="AG194" s="482"/>
    </row>
    <row r="195" spans="1:35" s="450" customFormat="1" ht="17.25" customHeight="1" x14ac:dyDescent="0.2">
      <c r="A195" s="483"/>
      <c r="B195" s="1303" t="s">
        <v>193</v>
      </c>
      <c r="C195" s="1304">
        <v>880</v>
      </c>
      <c r="D195" s="1305">
        <v>8.4</v>
      </c>
      <c r="E195" s="1305">
        <v>13.01</v>
      </c>
      <c r="F195" s="1306">
        <v>0</v>
      </c>
      <c r="G195" s="1307">
        <v>1</v>
      </c>
      <c r="H195" s="1308">
        <f>ROUND((11.93-(6.82*G195))*E195+1.03*G195*F195,0)</f>
        <v>66</v>
      </c>
      <c r="I195" s="1309">
        <f t="shared" si="35"/>
        <v>-11</v>
      </c>
      <c r="J195" s="1310">
        <v>-0.35</v>
      </c>
      <c r="K195" s="1308">
        <v>0</v>
      </c>
      <c r="L195" s="1308">
        <v>0</v>
      </c>
      <c r="M195" s="1308">
        <v>0</v>
      </c>
      <c r="N195" s="1308">
        <v>0</v>
      </c>
      <c r="O195" s="1308">
        <v>855</v>
      </c>
      <c r="P195" s="1311">
        <v>95</v>
      </c>
      <c r="Q195" s="1308">
        <v>0</v>
      </c>
      <c r="R195" s="1315">
        <v>0</v>
      </c>
      <c r="S195" s="1304">
        <v>50</v>
      </c>
      <c r="T195" s="1305">
        <v>0</v>
      </c>
      <c r="U195" s="1305">
        <v>0</v>
      </c>
      <c r="V195" s="1305">
        <v>18</v>
      </c>
      <c r="W195" s="1305">
        <v>0</v>
      </c>
      <c r="X195" s="1313">
        <v>0</v>
      </c>
      <c r="Y195" s="1359" t="s">
        <v>369</v>
      </c>
      <c r="Z195" s="1397"/>
      <c r="AA195" s="485" t="str">
        <f t="shared" si="36"/>
        <v/>
      </c>
      <c r="AB195" s="482"/>
      <c r="AC195" s="482"/>
      <c r="AD195" s="482"/>
      <c r="AE195" s="482"/>
      <c r="AF195" s="482"/>
      <c r="AG195" s="482"/>
    </row>
    <row r="196" spans="1:35" s="450" customFormat="1" ht="17.25" customHeight="1" x14ac:dyDescent="0.2">
      <c r="A196" s="483"/>
      <c r="B196" s="1303" t="s">
        <v>112</v>
      </c>
      <c r="C196" s="1304">
        <v>940</v>
      </c>
      <c r="D196" s="1305">
        <v>0</v>
      </c>
      <c r="E196" s="1305">
        <v>0</v>
      </c>
      <c r="F196" s="1306">
        <v>0</v>
      </c>
      <c r="G196" s="1307">
        <v>0</v>
      </c>
      <c r="H196" s="1308">
        <v>0</v>
      </c>
      <c r="I196" s="1309" t="str">
        <f t="shared" si="35"/>
        <v>+0</v>
      </c>
      <c r="J196" s="1310">
        <v>1</v>
      </c>
      <c r="K196" s="1308">
        <v>0</v>
      </c>
      <c r="L196" s="1308">
        <v>0</v>
      </c>
      <c r="M196" s="1308">
        <f>IF(AND(S196&lt;&gt;"",F196&lt;&gt;"",L196&lt;&gt;"",P196&lt;&gt;""),1000-F196-L196-P196-S196,"Fehler")</f>
        <v>0</v>
      </c>
      <c r="N196" s="1308">
        <v>0</v>
      </c>
      <c r="O196" s="1308">
        <v>0</v>
      </c>
      <c r="P196" s="1343">
        <v>0</v>
      </c>
      <c r="Q196" s="1308">
        <v>0</v>
      </c>
      <c r="R196" s="1315">
        <v>0</v>
      </c>
      <c r="S196" s="1304">
        <v>1000</v>
      </c>
      <c r="T196" s="1305">
        <v>0</v>
      </c>
      <c r="U196" s="1305">
        <v>0</v>
      </c>
      <c r="V196" s="1305">
        <v>354</v>
      </c>
      <c r="W196" s="1305">
        <v>0</v>
      </c>
      <c r="X196" s="1313">
        <v>32</v>
      </c>
      <c r="Y196" s="1359" t="s">
        <v>369</v>
      </c>
      <c r="Z196" s="1397"/>
      <c r="AA196" s="485" t="str">
        <f t="shared" si="36"/>
        <v/>
      </c>
      <c r="AB196" s="482"/>
      <c r="AC196" s="482"/>
      <c r="AD196" s="482"/>
      <c r="AE196" s="482"/>
      <c r="AF196" s="482"/>
      <c r="AG196" s="482"/>
    </row>
    <row r="197" spans="1:35" s="208" customFormat="1" ht="5.25" customHeight="1" x14ac:dyDescent="0.2">
      <c r="A197" s="184"/>
      <c r="B197" s="183"/>
      <c r="C197" s="177">
        <v>1E-3</v>
      </c>
      <c r="D197" s="178">
        <v>0</v>
      </c>
      <c r="E197" s="178">
        <v>0</v>
      </c>
      <c r="F197" s="179">
        <v>0</v>
      </c>
      <c r="G197" s="178">
        <v>0</v>
      </c>
      <c r="H197" s="178">
        <v>0</v>
      </c>
      <c r="I197" s="180">
        <v>0</v>
      </c>
      <c r="J197" s="178">
        <v>0</v>
      </c>
      <c r="K197" s="178">
        <v>0</v>
      </c>
      <c r="L197" s="178">
        <v>0</v>
      </c>
      <c r="M197" s="178">
        <v>0</v>
      </c>
      <c r="N197" s="178">
        <v>0</v>
      </c>
      <c r="O197" s="181"/>
      <c r="P197" s="181"/>
      <c r="Q197" s="178">
        <v>0</v>
      </c>
      <c r="R197" s="178">
        <v>0</v>
      </c>
      <c r="S197" s="177">
        <v>0</v>
      </c>
      <c r="T197" s="178">
        <v>0</v>
      </c>
      <c r="U197" s="182">
        <v>0</v>
      </c>
      <c r="V197" s="182">
        <v>0</v>
      </c>
      <c r="W197" s="182">
        <v>0</v>
      </c>
      <c r="X197" s="1159">
        <v>0</v>
      </c>
      <c r="Y197" s="1360"/>
      <c r="Z197" s="1378"/>
      <c r="AA197" s="13" t="str">
        <f t="shared" si="36"/>
        <v>x</v>
      </c>
      <c r="AB197" s="23"/>
      <c r="AC197" s="23"/>
      <c r="AD197" s="23"/>
      <c r="AE197" s="23"/>
      <c r="AF197" s="23"/>
      <c r="AG197" s="23"/>
      <c r="AI197" s="450"/>
    </row>
    <row r="198" spans="1:35" s="210" customFormat="1" ht="13.5" thickBot="1" x14ac:dyDescent="0.25">
      <c r="A198" s="1367" t="str">
        <f>'Zuteilung-Milchleistungsfutter'!$A$50</f>
        <v>Uni Rat 2016, © W. Sekul, LAZBW Aulendorf             Die Daten sind auf Plausibilität zu prüfen, um Eingabe- und Berechnungsfehler auszuschließen. Es wird keine Gewähr zur Richtigkeit der Daten übernommen.</v>
      </c>
      <c r="B198" s="1368"/>
      <c r="C198" s="1368"/>
      <c r="D198" s="1368"/>
      <c r="E198" s="1368"/>
      <c r="F198" s="1368"/>
      <c r="G198" s="1368"/>
      <c r="H198" s="1368"/>
      <c r="I198" s="1368"/>
      <c r="J198" s="1368"/>
      <c r="K198" s="1368"/>
      <c r="L198" s="1368"/>
      <c r="M198" s="1368"/>
      <c r="N198" s="1368"/>
      <c r="O198" s="1368"/>
      <c r="P198" s="1368"/>
      <c r="Q198" s="1368"/>
      <c r="R198" s="1368"/>
      <c r="S198" s="1368"/>
      <c r="T198" s="1368"/>
      <c r="U198" s="1368"/>
      <c r="V198" s="1368"/>
      <c r="W198" s="1368"/>
      <c r="X198" s="1368"/>
      <c r="Y198" s="1368"/>
      <c r="Z198" s="1379"/>
      <c r="AA198" s="12"/>
      <c r="AB198" s="12"/>
      <c r="AC198" s="12"/>
      <c r="AD198" s="12"/>
      <c r="AE198" s="12"/>
      <c r="AF198" s="12"/>
      <c r="AG198" s="12"/>
      <c r="AI198" s="450"/>
    </row>
    <row r="199" spans="1:35" s="210" customFormat="1" ht="4.5" customHeight="1" thickTop="1" x14ac:dyDescent="0.2">
      <c r="A199" s="1361"/>
      <c r="B199" s="1362"/>
      <c r="C199" s="1363"/>
      <c r="D199" s="1364"/>
      <c r="E199" s="1364"/>
      <c r="F199" s="1363"/>
      <c r="G199" s="1363"/>
      <c r="H199" s="1363"/>
      <c r="I199" s="1365"/>
      <c r="J199" s="1363"/>
      <c r="K199" s="1366"/>
      <c r="L199" s="1366"/>
      <c r="M199" s="1366"/>
      <c r="N199" s="1366"/>
      <c r="O199" s="1365"/>
      <c r="P199" s="1365"/>
      <c r="Q199" s="1363"/>
      <c r="R199" s="1363"/>
      <c r="S199" s="1363"/>
      <c r="T199" s="1361"/>
      <c r="U199" s="1361"/>
      <c r="V199" s="1361"/>
      <c r="W199" s="1361"/>
      <c r="X199" s="1361"/>
      <c r="Y199" s="1361"/>
      <c r="Z199" s="1361"/>
      <c r="AA199" s="1361"/>
      <c r="AB199" s="12"/>
      <c r="AC199" s="12"/>
      <c r="AD199" s="12"/>
      <c r="AE199" s="12"/>
      <c r="AF199" s="12"/>
      <c r="AG199" s="12"/>
      <c r="AI199" s="450"/>
    </row>
    <row r="200" spans="1:35" s="210" customFormat="1" hidden="1" x14ac:dyDescent="0.2">
      <c r="A200" s="12"/>
      <c r="B200" s="24"/>
      <c r="C200" s="16"/>
      <c r="D200" s="20"/>
      <c r="E200" s="20"/>
      <c r="F200" s="16"/>
      <c r="G200" s="16"/>
      <c r="H200" s="16"/>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I200" s="450"/>
    </row>
    <row r="201" spans="1:35" s="210" customFormat="1" hidden="1" x14ac:dyDescent="0.2">
      <c r="A201" s="12"/>
      <c r="B201" s="24"/>
      <c r="C201" s="12"/>
      <c r="D201" s="21"/>
      <c r="E201" s="21"/>
      <c r="F201" s="12"/>
      <c r="G201" s="12"/>
      <c r="H201" s="12"/>
      <c r="I201" s="15"/>
      <c r="J201" s="12"/>
      <c r="K201" s="14"/>
      <c r="L201" s="14"/>
      <c r="M201" s="19"/>
      <c r="N201" s="19"/>
      <c r="O201" s="17"/>
      <c r="P201" s="17"/>
      <c r="Q201" s="12"/>
      <c r="R201" s="12"/>
      <c r="S201" s="12"/>
      <c r="T201" s="12"/>
      <c r="U201" s="12"/>
      <c r="V201" s="12"/>
      <c r="W201" s="12"/>
      <c r="X201" s="12"/>
      <c r="Y201" s="12"/>
      <c r="Z201" s="12"/>
      <c r="AA201" s="12"/>
      <c r="AB201" s="12"/>
      <c r="AC201" s="12"/>
      <c r="AD201" s="12"/>
      <c r="AE201" s="12"/>
      <c r="AF201" s="12"/>
      <c r="AG201" s="12"/>
      <c r="AI201" s="450"/>
    </row>
  </sheetData>
  <sheetProtection selectLockedCells="1"/>
  <dataConsolidate/>
  <customSheetViews>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s>
  <mergeCells count="3">
    <mergeCell ref="K4:L4"/>
    <mergeCell ref="K3:L3"/>
    <mergeCell ref="T7:X7"/>
  </mergeCells>
  <phoneticPr fontId="0" type="noConversion"/>
  <conditionalFormatting sqref="K32:W32 C32:H32">
    <cfRule type="cellIs" dxfId="66" priority="48" operator="equal">
      <formula>0</formula>
    </cfRule>
  </conditionalFormatting>
  <conditionalFormatting sqref="C169:H169 K169:Q169 S169:W169">
    <cfRule type="cellIs" dxfId="65" priority="47" operator="equal">
      <formula>0</formula>
    </cfRule>
  </conditionalFormatting>
  <conditionalFormatting sqref="C141:H141 K141:Q141 S141:W141">
    <cfRule type="cellIs" dxfId="64" priority="46" operator="equal">
      <formula>0</formula>
    </cfRule>
  </conditionalFormatting>
  <conditionalFormatting sqref="C135:H135 K135:Q135 S135:W135">
    <cfRule type="cellIs" dxfId="63" priority="45" operator="equal">
      <formula>0</formula>
    </cfRule>
  </conditionalFormatting>
  <conditionalFormatting sqref="C35:H43 K45:W53 C45:H53 AJ35:XFD43 K35:AH43">
    <cfRule type="cellIs" dxfId="62" priority="42" operator="equal">
      <formula>0</formula>
    </cfRule>
  </conditionalFormatting>
  <conditionalFormatting sqref="X32">
    <cfRule type="cellIs" dxfId="61" priority="41" operator="equal">
      <formula>0</formula>
    </cfRule>
  </conditionalFormatting>
  <conditionalFormatting sqref="X169">
    <cfRule type="cellIs" dxfId="60" priority="40" operator="equal">
      <formula>0</formula>
    </cfRule>
  </conditionalFormatting>
  <conditionalFormatting sqref="X141">
    <cfRule type="cellIs" dxfId="59" priority="39" operator="equal">
      <formula>0</formula>
    </cfRule>
  </conditionalFormatting>
  <conditionalFormatting sqref="X135">
    <cfRule type="cellIs" dxfId="58" priority="38" operator="equal">
      <formula>0</formula>
    </cfRule>
  </conditionalFormatting>
  <conditionalFormatting sqref="Y32:Z32">
    <cfRule type="cellIs" dxfId="57" priority="24" operator="equal">
      <formula>0</formula>
    </cfRule>
  </conditionalFormatting>
  <conditionalFormatting sqref="Y169:Z169">
    <cfRule type="cellIs" dxfId="56" priority="23" operator="equal">
      <formula>0</formula>
    </cfRule>
  </conditionalFormatting>
  <conditionalFormatting sqref="Y141:Z141">
    <cfRule type="cellIs" dxfId="55" priority="22" operator="equal">
      <formula>0</formula>
    </cfRule>
  </conditionalFormatting>
  <conditionalFormatting sqref="Y135:Z135">
    <cfRule type="cellIs" dxfId="54" priority="21" operator="equal">
      <formula>0</formula>
    </cfRule>
  </conditionalFormatting>
  <conditionalFormatting sqref="Y32:Z32">
    <cfRule type="cellIs" dxfId="53" priority="19" operator="equal">
      <formula>0</formula>
    </cfRule>
  </conditionalFormatting>
  <conditionalFormatting sqref="Y56:Z76 Y183:Z197 Y175:Z180 Y116:Z132 Y79:Z113 Y135:Z173">
    <cfRule type="cellIs" dxfId="52" priority="15" operator="equal">
      <formula>0</formula>
    </cfRule>
  </conditionalFormatting>
  <conditionalFormatting sqref="Y32:Z32">
    <cfRule type="containsText" dxfId="51" priority="14" operator="containsText" text="...">
      <formula>NOT(ISERROR(SEARCH("...",Y32)))</formula>
    </cfRule>
  </conditionalFormatting>
  <conditionalFormatting sqref="Y183:Z196 Y175:Z180 Y116:Z132 Y56:Z76 Y79:Z113 Y135:Z172">
    <cfRule type="cellIs" dxfId="50" priority="13" operator="equal">
      <formula>0</formula>
    </cfRule>
  </conditionalFormatting>
  <conditionalFormatting sqref="Y183:Z196 Y175:Z180 Y116:Z132 Y56:Z76 Y79:Z113 Y135:Z172">
    <cfRule type="containsText" dxfId="49" priority="12" operator="containsText" text="...">
      <formula>NOT(ISERROR(SEARCH("...",Y56)))</formula>
    </cfRule>
  </conditionalFormatting>
  <conditionalFormatting sqref="X45:Z53">
    <cfRule type="cellIs" dxfId="48" priority="11" operator="equal">
      <formula>0</formula>
    </cfRule>
  </conditionalFormatting>
  <conditionalFormatting sqref="C12:H12 K12:W12 Y12:Z12 Y30:Z30 K30:W30 C30:H30">
    <cfRule type="cellIs" dxfId="47" priority="10" operator="equal">
      <formula>0</formula>
    </cfRule>
  </conditionalFormatting>
  <conditionalFormatting sqref="X12 X30">
    <cfRule type="cellIs" dxfId="46" priority="9" operator="equal">
      <formula>0</formula>
    </cfRule>
  </conditionalFormatting>
  <conditionalFormatting sqref="C9:Z32">
    <cfRule type="cellIs" dxfId="45" priority="8" operator="equal">
      <formula>0</formula>
    </cfRule>
  </conditionalFormatting>
  <conditionalFormatting sqref="X9:X11">
    <cfRule type="cellIs" dxfId="44" priority="7" operator="equal">
      <formula>0</formula>
    </cfRule>
  </conditionalFormatting>
  <conditionalFormatting sqref="K13:X22 C13:C22 H13:H22">
    <cfRule type="cellIs" dxfId="43" priority="6" operator="equal">
      <formula>0</formula>
    </cfRule>
  </conditionalFormatting>
  <conditionalFormatting sqref="C23:H28 K23:X28">
    <cfRule type="cellIs" dxfId="42" priority="5" operator="equal">
      <formula>0</formula>
    </cfRule>
  </conditionalFormatting>
  <conditionalFormatting sqref="C29:H29 K29:X29">
    <cfRule type="cellIs" dxfId="41" priority="4" operator="equal">
      <formula>0</formula>
    </cfRule>
  </conditionalFormatting>
  <conditionalFormatting sqref="D14:G22">
    <cfRule type="cellIs" dxfId="40" priority="3" operator="equal">
      <formula>0</formula>
    </cfRule>
  </conditionalFormatting>
  <conditionalFormatting sqref="D13:G13">
    <cfRule type="cellIs" dxfId="39" priority="2" operator="equal">
      <formula>0</formula>
    </cfRule>
  </conditionalFormatting>
  <conditionalFormatting sqref="C31:H31 K31:X31">
    <cfRule type="cellIs" dxfId="38" priority="1" operator="equal">
      <formula>0</formula>
    </cfRule>
  </conditionalFormatting>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rowBreaks count="3" manualBreakCount="3">
    <brk id="77" max="19" man="1"/>
    <brk id="133" max="16383" man="1"/>
    <brk id="173" max="16383" man="1"/>
  </rowBreaks>
  <ignoredErrors>
    <ignoredError sqref="J102" formula="1"/>
  </ignoredError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pageSetUpPr fitToPage="1"/>
  </sheetPr>
  <dimension ref="A1:AL52"/>
  <sheetViews>
    <sheetView showGridLines="0" showRowColHeaders="0" zoomScaleNormal="100" workbookViewId="0">
      <selection activeCell="B5" sqref="B5"/>
    </sheetView>
  </sheetViews>
  <sheetFormatPr baseColWidth="10" defaultColWidth="0" defaultRowHeight="12.75" zeroHeight="1" outlineLevelCol="1" x14ac:dyDescent="0.2"/>
  <cols>
    <col min="1" max="1" width="2" style="134" customWidth="1"/>
    <col min="2" max="2" width="3" style="1437" customWidth="1"/>
    <col min="3" max="3" width="34.42578125" style="553" customWidth="1"/>
    <col min="4" max="19" width="9.42578125" style="554" hidden="1" customWidth="1" outlineLevel="1"/>
    <col min="20" max="20" width="9.85546875" style="554" hidden="1" customWidth="1" outlineLevel="1"/>
    <col min="21" max="21" width="9.42578125" style="554" hidden="1" customWidth="1" outlineLevel="1"/>
    <col min="22" max="22" width="10.140625" style="554" hidden="1" customWidth="1" outlineLevel="1"/>
    <col min="23" max="27" width="9.42578125" style="554" hidden="1" customWidth="1" outlineLevel="1"/>
    <col min="28" max="28" width="20" style="554" customWidth="1" collapsed="1"/>
    <col min="29" max="36" width="20" style="554" customWidth="1"/>
    <col min="37" max="37" width="1.85546875" style="134" customWidth="1"/>
    <col min="38" max="38" width="0.5703125" style="134" customWidth="1"/>
    <col min="39" max="16384" width="11.42578125" style="134" hidden="1"/>
  </cols>
  <sheetData>
    <row r="1" spans="1:37" ht="13.5" thickTop="1" x14ac:dyDescent="0.2">
      <c r="A1" s="546"/>
      <c r="B1" s="1428"/>
      <c r="C1" s="548"/>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50"/>
    </row>
    <row r="2" spans="1:37" ht="48" customHeight="1" thickBot="1" x14ac:dyDescent="0.25">
      <c r="A2" s="547"/>
      <c r="B2" s="1482" t="s">
        <v>214</v>
      </c>
      <c r="C2" s="1483"/>
      <c r="D2" s="528" t="str">
        <f>Futterwerte!C6</f>
        <v>TS</v>
      </c>
      <c r="E2" s="528" t="str">
        <f>Futterwerte!D6</f>
        <v>NEL</v>
      </c>
      <c r="F2" s="528" t="str">
        <f>Futterwerte!E6</f>
        <v>ME</v>
      </c>
      <c r="G2" s="528" t="str">
        <f>Futterwerte!F6</f>
        <v>XP</v>
      </c>
      <c r="H2" s="528" t="str">
        <f>Futterwerte!G6</f>
        <v>UDP</v>
      </c>
      <c r="I2" s="528" t="str">
        <f>Futterwerte!H6</f>
        <v>nXP</v>
      </c>
      <c r="J2" s="528" t="str">
        <f>Futterwerte!I6</f>
        <v>RNB</v>
      </c>
      <c r="K2" s="528" t="str">
        <f>Futterwerte!J6</f>
        <v>SW</v>
      </c>
      <c r="L2" s="528" t="str">
        <f>Futterwerte!K6</f>
        <v>ADF</v>
      </c>
      <c r="M2" s="528" t="str">
        <f>Futterwerte!L6</f>
        <v>NDF</v>
      </c>
      <c r="N2" s="528" t="str">
        <f>Futterwerte!M6</f>
        <v>NFC</v>
      </c>
      <c r="O2" s="528" t="str">
        <f>Futterwerte!N6</f>
        <v>XS</v>
      </c>
      <c r="P2" s="528" t="str">
        <f>Futterwerte!O6</f>
        <v>XZ</v>
      </c>
      <c r="Q2" s="528" t="str">
        <f>Futterwerte!P6</f>
        <v>XL</v>
      </c>
      <c r="R2" s="528" t="str">
        <f>Futterwerte!Q6</f>
        <v>XF</v>
      </c>
      <c r="S2" s="528" t="str">
        <f>Futterwerte!R6</f>
        <v>sXF</v>
      </c>
      <c r="T2" s="528" t="str">
        <f>Futterwerte!S6</f>
        <v>XA</v>
      </c>
      <c r="U2" s="528" t="str">
        <f>Futterwerte!T6</f>
        <v>Ca</v>
      </c>
      <c r="V2" s="528" t="str">
        <f>Futterwerte!U6</f>
        <v>P</v>
      </c>
      <c r="W2" s="528" t="str">
        <f>Futterwerte!V6</f>
        <v>Na</v>
      </c>
      <c r="X2" s="528" t="str">
        <f>Futterwerte!W6</f>
        <v>Mg</v>
      </c>
      <c r="Y2" s="528" t="str">
        <f>Futterwerte!X6</f>
        <v>K</v>
      </c>
      <c r="Z2" s="528" t="str">
        <f>Futterwerte!Y6</f>
        <v>Se</v>
      </c>
      <c r="AA2" s="528" t="str">
        <f>Futterwerte!Z6</f>
        <v>Kosten</v>
      </c>
      <c r="AB2" s="529" t="s">
        <v>239</v>
      </c>
      <c r="AC2" s="529" t="s">
        <v>239</v>
      </c>
      <c r="AD2" s="529" t="s">
        <v>239</v>
      </c>
      <c r="AE2" s="529" t="s">
        <v>239</v>
      </c>
      <c r="AF2" s="529" t="s">
        <v>239</v>
      </c>
      <c r="AG2" s="529" t="s">
        <v>239</v>
      </c>
      <c r="AH2" s="529" t="s">
        <v>239</v>
      </c>
      <c r="AI2" s="529" t="s">
        <v>239</v>
      </c>
      <c r="AJ2" s="529" t="s">
        <v>239</v>
      </c>
      <c r="AK2" s="551"/>
    </row>
    <row r="3" spans="1:37" ht="18.75" customHeight="1" thickBot="1" x14ac:dyDescent="0.25">
      <c r="A3" s="1438">
        <v>127</v>
      </c>
      <c r="B3" s="1429">
        <f t="shared" ref="B3:B20" si="0">INDEX(Tabelle,$A3,1)</f>
        <v>0</v>
      </c>
      <c r="C3" s="30"/>
      <c r="D3" s="530">
        <f t="shared" ref="D3:D20" si="1">IF(INDEX(Tabelle,$A3,2)="","",INDEX(Tabelle,$A3,2)/10)</f>
        <v>1.0000000000000001E-5</v>
      </c>
      <c r="E3" s="531">
        <f t="shared" ref="E3:E20" si="2">INDEX(Tabelle,$A3,3)</f>
        <v>1E-4</v>
      </c>
      <c r="F3" s="531">
        <f t="shared" ref="F3:F20" si="3">INDEX(Tabelle,$A3,4)</f>
        <v>1E-4</v>
      </c>
      <c r="G3" s="531">
        <f t="shared" ref="G3:G20" si="4">INDEX(Tabelle,$A3,5)</f>
        <v>1E-4</v>
      </c>
      <c r="H3" s="531">
        <f t="shared" ref="H3:H20" si="5">INDEX(Tabelle,$A3,6)</f>
        <v>1E-4</v>
      </c>
      <c r="I3" s="531">
        <f t="shared" ref="I3:I20" si="6">INDEX(Tabelle,$A3,7)</f>
        <v>1E-4</v>
      </c>
      <c r="J3" s="531">
        <f t="shared" ref="J3:J20" si="7">INDEX(Tabelle,$A3,8)</f>
        <v>1E-4</v>
      </c>
      <c r="K3" s="531">
        <f t="shared" ref="K3:K20" si="8">INDEX(Tabelle,$A3,9)</f>
        <v>1E-4</v>
      </c>
      <c r="L3" s="531">
        <f t="shared" ref="L3:L20" si="9">INDEX(Tabelle,$A3,10)</f>
        <v>1E-4</v>
      </c>
      <c r="M3" s="531">
        <f t="shared" ref="M3:M20" si="10">INDEX(Tabelle,$A3,11)</f>
        <v>1E-4</v>
      </c>
      <c r="N3" s="531">
        <f t="shared" ref="N3:N20" si="11">INDEX(Tabelle,$A3,12)</f>
        <v>1E-4</v>
      </c>
      <c r="O3" s="531">
        <f t="shared" ref="O3:O20" si="12">INDEX(Tabelle,$A3,13)</f>
        <v>1E-4</v>
      </c>
      <c r="P3" s="531">
        <f t="shared" ref="P3:P20" si="13">INDEX(Tabelle,$A3,14)</f>
        <v>1E-4</v>
      </c>
      <c r="Q3" s="531">
        <f t="shared" ref="Q3:Q20" si="14">INDEX(Tabelle,$A3,15)</f>
        <v>1E-4</v>
      </c>
      <c r="R3" s="531">
        <f t="shared" ref="R3:R20" si="15">INDEX(Tabelle,$A3,16)</f>
        <v>1E-4</v>
      </c>
      <c r="S3" s="531">
        <f t="shared" ref="S3:S20" si="16">INDEX(Tabelle,$A3,17)</f>
        <v>1E-4</v>
      </c>
      <c r="T3" s="531">
        <f t="shared" ref="T3:T16" si="17">INDEX(Tabelle,$A3,18)</f>
        <v>1E-4</v>
      </c>
      <c r="U3" s="531">
        <f t="shared" ref="U3:U20" si="18">INDEX(Tabelle,$A3,19)</f>
        <v>1E-4</v>
      </c>
      <c r="V3" s="531">
        <f t="shared" ref="V3:V20" si="19">INDEX(Tabelle,$A3,20)</f>
        <v>1E-4</v>
      </c>
      <c r="W3" s="531">
        <f t="shared" ref="W3:W20" si="20">INDEX(Tabelle,$A3,21)</f>
        <v>1E-4</v>
      </c>
      <c r="X3" s="531">
        <f t="shared" ref="X3:X20" si="21">INDEX(Tabelle,$A3,22)</f>
        <v>1E-4</v>
      </c>
      <c r="Y3" s="531">
        <f t="shared" ref="Y3:Y20" si="22">INDEX(Tabelle,$A3,23)</f>
        <v>1E-4</v>
      </c>
      <c r="Z3" s="531">
        <f t="shared" ref="Z3:Z20" si="23">INDEX(Tabelle,$A3,24)</f>
        <v>1E-4</v>
      </c>
      <c r="AA3" s="531">
        <f t="shared" ref="AA3:AA20" si="24">INDEX(Tabelle,$A3,25)</f>
        <v>0</v>
      </c>
      <c r="AB3" s="532"/>
      <c r="AC3" s="532"/>
      <c r="AD3" s="532"/>
      <c r="AE3" s="532"/>
      <c r="AF3" s="532"/>
      <c r="AG3" s="532"/>
      <c r="AH3" s="532"/>
      <c r="AI3" s="532"/>
      <c r="AJ3" s="532"/>
      <c r="AK3" s="551"/>
    </row>
    <row r="4" spans="1:37" ht="18.75" customHeight="1" thickBot="1" x14ac:dyDescent="0.25">
      <c r="A4" s="1438">
        <v>127</v>
      </c>
      <c r="B4" s="1430">
        <f t="shared" si="0"/>
        <v>0</v>
      </c>
      <c r="C4" s="31"/>
      <c r="D4" s="530">
        <f t="shared" si="1"/>
        <v>1.0000000000000001E-5</v>
      </c>
      <c r="E4" s="531">
        <f t="shared" si="2"/>
        <v>1E-4</v>
      </c>
      <c r="F4" s="531">
        <f t="shared" si="3"/>
        <v>1E-4</v>
      </c>
      <c r="G4" s="531">
        <f t="shared" si="4"/>
        <v>1E-4</v>
      </c>
      <c r="H4" s="531">
        <f t="shared" si="5"/>
        <v>1E-4</v>
      </c>
      <c r="I4" s="531">
        <f t="shared" si="6"/>
        <v>1E-4</v>
      </c>
      <c r="J4" s="531">
        <f t="shared" si="7"/>
        <v>1E-4</v>
      </c>
      <c r="K4" s="531">
        <f t="shared" si="8"/>
        <v>1E-4</v>
      </c>
      <c r="L4" s="531">
        <f t="shared" si="9"/>
        <v>1E-4</v>
      </c>
      <c r="M4" s="531">
        <f t="shared" si="10"/>
        <v>1E-4</v>
      </c>
      <c r="N4" s="531">
        <f t="shared" si="11"/>
        <v>1E-4</v>
      </c>
      <c r="O4" s="531">
        <f t="shared" si="12"/>
        <v>1E-4</v>
      </c>
      <c r="P4" s="531">
        <f t="shared" si="13"/>
        <v>1E-4</v>
      </c>
      <c r="Q4" s="531">
        <f t="shared" si="14"/>
        <v>1E-4</v>
      </c>
      <c r="R4" s="531">
        <f t="shared" si="15"/>
        <v>1E-4</v>
      </c>
      <c r="S4" s="531">
        <f t="shared" si="16"/>
        <v>1E-4</v>
      </c>
      <c r="T4" s="531">
        <f t="shared" si="17"/>
        <v>1E-4</v>
      </c>
      <c r="U4" s="531">
        <f t="shared" si="18"/>
        <v>1E-4</v>
      </c>
      <c r="V4" s="531">
        <f t="shared" si="19"/>
        <v>1E-4</v>
      </c>
      <c r="W4" s="531">
        <f t="shared" si="20"/>
        <v>1E-4</v>
      </c>
      <c r="X4" s="531">
        <f t="shared" si="21"/>
        <v>1E-4</v>
      </c>
      <c r="Y4" s="531">
        <f t="shared" si="22"/>
        <v>1E-4</v>
      </c>
      <c r="Z4" s="531">
        <f t="shared" si="23"/>
        <v>1E-4</v>
      </c>
      <c r="AA4" s="531">
        <f t="shared" si="24"/>
        <v>0</v>
      </c>
      <c r="AB4" s="533"/>
      <c r="AC4" s="533"/>
      <c r="AD4" s="533"/>
      <c r="AE4" s="533"/>
      <c r="AF4" s="533"/>
      <c r="AG4" s="533"/>
      <c r="AH4" s="533"/>
      <c r="AI4" s="533"/>
      <c r="AJ4" s="533"/>
      <c r="AK4" s="551"/>
    </row>
    <row r="5" spans="1:37" ht="18.75" customHeight="1" thickBot="1" x14ac:dyDescent="0.25">
      <c r="A5" s="1438">
        <v>175</v>
      </c>
      <c r="B5" s="1430">
        <f t="shared" si="0"/>
        <v>0</v>
      </c>
      <c r="C5" s="31"/>
      <c r="D5" s="530">
        <f t="shared" si="1"/>
        <v>1.0000000000000001E-5</v>
      </c>
      <c r="E5" s="531">
        <f t="shared" si="2"/>
        <v>1E-4</v>
      </c>
      <c r="F5" s="531">
        <f t="shared" si="3"/>
        <v>1E-4</v>
      </c>
      <c r="G5" s="531">
        <f t="shared" si="4"/>
        <v>1E-4</v>
      </c>
      <c r="H5" s="531">
        <f t="shared" si="5"/>
        <v>1E-4</v>
      </c>
      <c r="I5" s="531">
        <f t="shared" si="6"/>
        <v>1E-4</v>
      </c>
      <c r="J5" s="531">
        <f t="shared" si="7"/>
        <v>1E-4</v>
      </c>
      <c r="K5" s="531">
        <f t="shared" si="8"/>
        <v>1E-4</v>
      </c>
      <c r="L5" s="531">
        <f t="shared" si="9"/>
        <v>1E-4</v>
      </c>
      <c r="M5" s="531">
        <f t="shared" si="10"/>
        <v>1E-4</v>
      </c>
      <c r="N5" s="531">
        <f t="shared" si="11"/>
        <v>1E-4</v>
      </c>
      <c r="O5" s="531">
        <f t="shared" si="12"/>
        <v>1E-4</v>
      </c>
      <c r="P5" s="531">
        <f t="shared" si="13"/>
        <v>1E-4</v>
      </c>
      <c r="Q5" s="531">
        <f t="shared" si="14"/>
        <v>1E-4</v>
      </c>
      <c r="R5" s="531">
        <f t="shared" si="15"/>
        <v>1E-4</v>
      </c>
      <c r="S5" s="531">
        <f t="shared" si="16"/>
        <v>1E-4</v>
      </c>
      <c r="T5" s="531">
        <f t="shared" si="17"/>
        <v>1E-4</v>
      </c>
      <c r="U5" s="531">
        <f t="shared" si="18"/>
        <v>1E-4</v>
      </c>
      <c r="V5" s="531">
        <f t="shared" si="19"/>
        <v>1E-4</v>
      </c>
      <c r="W5" s="531">
        <f t="shared" si="20"/>
        <v>1E-4</v>
      </c>
      <c r="X5" s="531">
        <f t="shared" si="21"/>
        <v>1E-4</v>
      </c>
      <c r="Y5" s="531">
        <f t="shared" si="22"/>
        <v>1E-4</v>
      </c>
      <c r="Z5" s="531">
        <f t="shared" si="23"/>
        <v>1E-4</v>
      </c>
      <c r="AA5" s="531">
        <f t="shared" si="24"/>
        <v>0</v>
      </c>
      <c r="AB5" s="533"/>
      <c r="AC5" s="533"/>
      <c r="AD5" s="533"/>
      <c r="AE5" s="533"/>
      <c r="AF5" s="533"/>
      <c r="AG5" s="533"/>
      <c r="AH5" s="533"/>
      <c r="AI5" s="533"/>
      <c r="AJ5" s="533"/>
      <c r="AK5" s="551"/>
    </row>
    <row r="6" spans="1:37" ht="18.75" customHeight="1" thickBot="1" x14ac:dyDescent="0.25">
      <c r="A6" s="1438">
        <v>127</v>
      </c>
      <c r="B6" s="1430">
        <f t="shared" si="0"/>
        <v>0</v>
      </c>
      <c r="C6" s="31"/>
      <c r="D6" s="530">
        <f t="shared" si="1"/>
        <v>1.0000000000000001E-5</v>
      </c>
      <c r="E6" s="531">
        <f t="shared" si="2"/>
        <v>1E-4</v>
      </c>
      <c r="F6" s="531">
        <f t="shared" si="3"/>
        <v>1E-4</v>
      </c>
      <c r="G6" s="531">
        <f t="shared" si="4"/>
        <v>1E-4</v>
      </c>
      <c r="H6" s="531">
        <f t="shared" si="5"/>
        <v>1E-4</v>
      </c>
      <c r="I6" s="531">
        <f t="shared" si="6"/>
        <v>1E-4</v>
      </c>
      <c r="J6" s="531">
        <f t="shared" si="7"/>
        <v>1E-4</v>
      </c>
      <c r="K6" s="531">
        <f t="shared" si="8"/>
        <v>1E-4</v>
      </c>
      <c r="L6" s="531">
        <f t="shared" si="9"/>
        <v>1E-4</v>
      </c>
      <c r="M6" s="531">
        <f t="shared" si="10"/>
        <v>1E-4</v>
      </c>
      <c r="N6" s="531">
        <f t="shared" si="11"/>
        <v>1E-4</v>
      </c>
      <c r="O6" s="531">
        <f t="shared" si="12"/>
        <v>1E-4</v>
      </c>
      <c r="P6" s="531">
        <f t="shared" si="13"/>
        <v>1E-4</v>
      </c>
      <c r="Q6" s="531">
        <f t="shared" si="14"/>
        <v>1E-4</v>
      </c>
      <c r="R6" s="531">
        <f t="shared" si="15"/>
        <v>1E-4</v>
      </c>
      <c r="S6" s="531">
        <f t="shared" si="16"/>
        <v>1E-4</v>
      </c>
      <c r="T6" s="531">
        <f t="shared" si="17"/>
        <v>1E-4</v>
      </c>
      <c r="U6" s="531">
        <f t="shared" si="18"/>
        <v>1E-4</v>
      </c>
      <c r="V6" s="531">
        <f t="shared" si="19"/>
        <v>1E-4</v>
      </c>
      <c r="W6" s="531">
        <f t="shared" si="20"/>
        <v>1E-4</v>
      </c>
      <c r="X6" s="531">
        <f t="shared" si="21"/>
        <v>1E-4</v>
      </c>
      <c r="Y6" s="531">
        <f t="shared" si="22"/>
        <v>1E-4</v>
      </c>
      <c r="Z6" s="531">
        <f t="shared" si="23"/>
        <v>1E-4</v>
      </c>
      <c r="AA6" s="531">
        <f t="shared" si="24"/>
        <v>0</v>
      </c>
      <c r="AB6" s="533"/>
      <c r="AC6" s="533"/>
      <c r="AD6" s="533"/>
      <c r="AE6" s="533"/>
      <c r="AF6" s="533"/>
      <c r="AG6" s="533"/>
      <c r="AH6" s="533"/>
      <c r="AI6" s="533"/>
      <c r="AJ6" s="533"/>
      <c r="AK6" s="551"/>
    </row>
    <row r="7" spans="1:37" ht="18.75" customHeight="1" thickBot="1" x14ac:dyDescent="0.25">
      <c r="A7" s="1438">
        <v>127</v>
      </c>
      <c r="B7" s="1430">
        <f t="shared" si="0"/>
        <v>0</v>
      </c>
      <c r="C7" s="31"/>
      <c r="D7" s="530">
        <f t="shared" si="1"/>
        <v>1.0000000000000001E-5</v>
      </c>
      <c r="E7" s="531">
        <f t="shared" si="2"/>
        <v>1E-4</v>
      </c>
      <c r="F7" s="531">
        <f t="shared" si="3"/>
        <v>1E-4</v>
      </c>
      <c r="G7" s="531">
        <f t="shared" si="4"/>
        <v>1E-4</v>
      </c>
      <c r="H7" s="531">
        <f t="shared" si="5"/>
        <v>1E-4</v>
      </c>
      <c r="I7" s="531">
        <f t="shared" si="6"/>
        <v>1E-4</v>
      </c>
      <c r="J7" s="531">
        <f t="shared" si="7"/>
        <v>1E-4</v>
      </c>
      <c r="K7" s="531">
        <f t="shared" si="8"/>
        <v>1E-4</v>
      </c>
      <c r="L7" s="531">
        <f t="shared" si="9"/>
        <v>1E-4</v>
      </c>
      <c r="M7" s="531">
        <f t="shared" si="10"/>
        <v>1E-4</v>
      </c>
      <c r="N7" s="531">
        <f t="shared" si="11"/>
        <v>1E-4</v>
      </c>
      <c r="O7" s="531">
        <f t="shared" si="12"/>
        <v>1E-4</v>
      </c>
      <c r="P7" s="531">
        <f t="shared" si="13"/>
        <v>1E-4</v>
      </c>
      <c r="Q7" s="531">
        <f t="shared" si="14"/>
        <v>1E-4</v>
      </c>
      <c r="R7" s="531">
        <f t="shared" si="15"/>
        <v>1E-4</v>
      </c>
      <c r="S7" s="531">
        <f t="shared" si="16"/>
        <v>1E-4</v>
      </c>
      <c r="T7" s="531">
        <f t="shared" si="17"/>
        <v>1E-4</v>
      </c>
      <c r="U7" s="531">
        <f t="shared" si="18"/>
        <v>1E-4</v>
      </c>
      <c r="V7" s="531">
        <f t="shared" si="19"/>
        <v>1E-4</v>
      </c>
      <c r="W7" s="531">
        <f t="shared" si="20"/>
        <v>1E-4</v>
      </c>
      <c r="X7" s="531">
        <f t="shared" si="21"/>
        <v>1E-4</v>
      </c>
      <c r="Y7" s="531">
        <f t="shared" si="22"/>
        <v>1E-4</v>
      </c>
      <c r="Z7" s="531">
        <f t="shared" si="23"/>
        <v>1E-4</v>
      </c>
      <c r="AA7" s="531">
        <f t="shared" si="24"/>
        <v>0</v>
      </c>
      <c r="AB7" s="533"/>
      <c r="AC7" s="533"/>
      <c r="AD7" s="533"/>
      <c r="AE7" s="533"/>
      <c r="AF7" s="533"/>
      <c r="AG7" s="533"/>
      <c r="AH7" s="533"/>
      <c r="AI7" s="533"/>
      <c r="AJ7" s="533"/>
      <c r="AK7" s="551"/>
    </row>
    <row r="8" spans="1:37" ht="18.75" customHeight="1" thickBot="1" x14ac:dyDescent="0.25">
      <c r="A8" s="1438">
        <v>127</v>
      </c>
      <c r="B8" s="1430">
        <f t="shared" si="0"/>
        <v>0</v>
      </c>
      <c r="C8" s="31"/>
      <c r="D8" s="530">
        <f t="shared" si="1"/>
        <v>1.0000000000000001E-5</v>
      </c>
      <c r="E8" s="531">
        <f t="shared" si="2"/>
        <v>1E-4</v>
      </c>
      <c r="F8" s="531">
        <f t="shared" si="3"/>
        <v>1E-4</v>
      </c>
      <c r="G8" s="531">
        <f t="shared" si="4"/>
        <v>1E-4</v>
      </c>
      <c r="H8" s="531">
        <f t="shared" si="5"/>
        <v>1E-4</v>
      </c>
      <c r="I8" s="531">
        <f t="shared" si="6"/>
        <v>1E-4</v>
      </c>
      <c r="J8" s="531">
        <f t="shared" si="7"/>
        <v>1E-4</v>
      </c>
      <c r="K8" s="531">
        <f t="shared" si="8"/>
        <v>1E-4</v>
      </c>
      <c r="L8" s="531">
        <f t="shared" si="9"/>
        <v>1E-4</v>
      </c>
      <c r="M8" s="531">
        <f t="shared" si="10"/>
        <v>1E-4</v>
      </c>
      <c r="N8" s="531">
        <f t="shared" si="11"/>
        <v>1E-4</v>
      </c>
      <c r="O8" s="531">
        <f t="shared" si="12"/>
        <v>1E-4</v>
      </c>
      <c r="P8" s="531">
        <f t="shared" si="13"/>
        <v>1E-4</v>
      </c>
      <c r="Q8" s="531">
        <f t="shared" si="14"/>
        <v>1E-4</v>
      </c>
      <c r="R8" s="531">
        <f t="shared" si="15"/>
        <v>1E-4</v>
      </c>
      <c r="S8" s="531">
        <f t="shared" si="16"/>
        <v>1E-4</v>
      </c>
      <c r="T8" s="531">
        <f t="shared" si="17"/>
        <v>1E-4</v>
      </c>
      <c r="U8" s="531">
        <f t="shared" si="18"/>
        <v>1E-4</v>
      </c>
      <c r="V8" s="531">
        <f t="shared" si="19"/>
        <v>1E-4</v>
      </c>
      <c r="W8" s="531">
        <f t="shared" si="20"/>
        <v>1E-4</v>
      </c>
      <c r="X8" s="531">
        <f t="shared" si="21"/>
        <v>1E-4</v>
      </c>
      <c r="Y8" s="531">
        <f t="shared" si="22"/>
        <v>1E-4</v>
      </c>
      <c r="Z8" s="531">
        <f t="shared" si="23"/>
        <v>1E-4</v>
      </c>
      <c r="AA8" s="531">
        <f t="shared" si="24"/>
        <v>0</v>
      </c>
      <c r="AB8" s="533"/>
      <c r="AC8" s="533"/>
      <c r="AD8" s="533"/>
      <c r="AE8" s="533"/>
      <c r="AF8" s="533"/>
      <c r="AG8" s="533"/>
      <c r="AH8" s="533"/>
      <c r="AI8" s="533"/>
      <c r="AJ8" s="533"/>
      <c r="AK8" s="551"/>
    </row>
    <row r="9" spans="1:37" ht="18.75" customHeight="1" thickBot="1" x14ac:dyDescent="0.25">
      <c r="A9" s="1438">
        <v>127</v>
      </c>
      <c r="B9" s="1430">
        <f t="shared" si="0"/>
        <v>0</v>
      </c>
      <c r="C9" s="31"/>
      <c r="D9" s="530">
        <f t="shared" si="1"/>
        <v>1.0000000000000001E-5</v>
      </c>
      <c r="E9" s="531">
        <f t="shared" si="2"/>
        <v>1E-4</v>
      </c>
      <c r="F9" s="531">
        <f t="shared" si="3"/>
        <v>1E-4</v>
      </c>
      <c r="G9" s="531">
        <f t="shared" si="4"/>
        <v>1E-4</v>
      </c>
      <c r="H9" s="531">
        <f t="shared" si="5"/>
        <v>1E-4</v>
      </c>
      <c r="I9" s="531">
        <f t="shared" si="6"/>
        <v>1E-4</v>
      </c>
      <c r="J9" s="531">
        <f t="shared" si="7"/>
        <v>1E-4</v>
      </c>
      <c r="K9" s="531">
        <f t="shared" si="8"/>
        <v>1E-4</v>
      </c>
      <c r="L9" s="531">
        <f t="shared" si="9"/>
        <v>1E-4</v>
      </c>
      <c r="M9" s="531">
        <f t="shared" si="10"/>
        <v>1E-4</v>
      </c>
      <c r="N9" s="531">
        <f t="shared" si="11"/>
        <v>1E-4</v>
      </c>
      <c r="O9" s="531">
        <f t="shared" si="12"/>
        <v>1E-4</v>
      </c>
      <c r="P9" s="531">
        <f t="shared" si="13"/>
        <v>1E-4</v>
      </c>
      <c r="Q9" s="531">
        <f t="shared" si="14"/>
        <v>1E-4</v>
      </c>
      <c r="R9" s="531">
        <f t="shared" si="15"/>
        <v>1E-4</v>
      </c>
      <c r="S9" s="531">
        <f t="shared" si="16"/>
        <v>1E-4</v>
      </c>
      <c r="T9" s="531">
        <f t="shared" si="17"/>
        <v>1E-4</v>
      </c>
      <c r="U9" s="531">
        <f t="shared" si="18"/>
        <v>1E-4</v>
      </c>
      <c r="V9" s="531">
        <f t="shared" si="19"/>
        <v>1E-4</v>
      </c>
      <c r="W9" s="531">
        <f t="shared" si="20"/>
        <v>1E-4</v>
      </c>
      <c r="X9" s="531">
        <f t="shared" si="21"/>
        <v>1E-4</v>
      </c>
      <c r="Y9" s="531">
        <f t="shared" si="22"/>
        <v>1E-4</v>
      </c>
      <c r="Z9" s="531">
        <f t="shared" si="23"/>
        <v>1E-4</v>
      </c>
      <c r="AA9" s="531">
        <f t="shared" si="24"/>
        <v>0</v>
      </c>
      <c r="AB9" s="533"/>
      <c r="AC9" s="533"/>
      <c r="AD9" s="533"/>
      <c r="AE9" s="533"/>
      <c r="AF9" s="533"/>
      <c r="AG9" s="533"/>
      <c r="AH9" s="533"/>
      <c r="AI9" s="533"/>
      <c r="AJ9" s="533"/>
      <c r="AK9" s="551"/>
    </row>
    <row r="10" spans="1:37" ht="18.75" customHeight="1" thickBot="1" x14ac:dyDescent="0.25">
      <c r="A10" s="1438">
        <v>127</v>
      </c>
      <c r="B10" s="1430">
        <f t="shared" si="0"/>
        <v>0</v>
      </c>
      <c r="C10" s="31"/>
      <c r="D10" s="530">
        <f t="shared" si="1"/>
        <v>1.0000000000000001E-5</v>
      </c>
      <c r="E10" s="531">
        <f t="shared" si="2"/>
        <v>1E-4</v>
      </c>
      <c r="F10" s="531">
        <f t="shared" si="3"/>
        <v>1E-4</v>
      </c>
      <c r="G10" s="531">
        <f t="shared" si="4"/>
        <v>1E-4</v>
      </c>
      <c r="H10" s="531">
        <f t="shared" si="5"/>
        <v>1E-4</v>
      </c>
      <c r="I10" s="531">
        <f t="shared" si="6"/>
        <v>1E-4</v>
      </c>
      <c r="J10" s="531">
        <f t="shared" si="7"/>
        <v>1E-4</v>
      </c>
      <c r="K10" s="531">
        <f t="shared" si="8"/>
        <v>1E-4</v>
      </c>
      <c r="L10" s="531">
        <f t="shared" si="9"/>
        <v>1E-4</v>
      </c>
      <c r="M10" s="531">
        <f t="shared" si="10"/>
        <v>1E-4</v>
      </c>
      <c r="N10" s="531">
        <f t="shared" si="11"/>
        <v>1E-4</v>
      </c>
      <c r="O10" s="531">
        <f t="shared" si="12"/>
        <v>1E-4</v>
      </c>
      <c r="P10" s="531">
        <f t="shared" si="13"/>
        <v>1E-4</v>
      </c>
      <c r="Q10" s="531">
        <f t="shared" si="14"/>
        <v>1E-4</v>
      </c>
      <c r="R10" s="531">
        <f t="shared" si="15"/>
        <v>1E-4</v>
      </c>
      <c r="S10" s="531">
        <f t="shared" si="16"/>
        <v>1E-4</v>
      </c>
      <c r="T10" s="531">
        <f t="shared" si="17"/>
        <v>1E-4</v>
      </c>
      <c r="U10" s="531">
        <f t="shared" si="18"/>
        <v>1E-4</v>
      </c>
      <c r="V10" s="531">
        <f t="shared" si="19"/>
        <v>1E-4</v>
      </c>
      <c r="W10" s="531">
        <f t="shared" si="20"/>
        <v>1E-4</v>
      </c>
      <c r="X10" s="531">
        <f t="shared" si="21"/>
        <v>1E-4</v>
      </c>
      <c r="Y10" s="531">
        <f t="shared" si="22"/>
        <v>1E-4</v>
      </c>
      <c r="Z10" s="531">
        <f t="shared" si="23"/>
        <v>1E-4</v>
      </c>
      <c r="AA10" s="531">
        <f t="shared" si="24"/>
        <v>0</v>
      </c>
      <c r="AB10" s="534"/>
      <c r="AC10" s="533"/>
      <c r="AD10" s="533"/>
      <c r="AE10" s="533"/>
      <c r="AF10" s="533"/>
      <c r="AG10" s="533"/>
      <c r="AH10" s="533"/>
      <c r="AI10" s="533"/>
      <c r="AJ10" s="533"/>
      <c r="AK10" s="551"/>
    </row>
    <row r="11" spans="1:37" ht="18.75" customHeight="1" thickBot="1" x14ac:dyDescent="0.25">
      <c r="A11" s="1438">
        <v>127</v>
      </c>
      <c r="B11" s="1430">
        <f t="shared" si="0"/>
        <v>0</v>
      </c>
      <c r="C11" s="31"/>
      <c r="D11" s="530">
        <f t="shared" si="1"/>
        <v>1.0000000000000001E-5</v>
      </c>
      <c r="E11" s="531">
        <f t="shared" si="2"/>
        <v>1E-4</v>
      </c>
      <c r="F11" s="531">
        <f t="shared" si="3"/>
        <v>1E-4</v>
      </c>
      <c r="G11" s="531">
        <f t="shared" si="4"/>
        <v>1E-4</v>
      </c>
      <c r="H11" s="531">
        <f t="shared" si="5"/>
        <v>1E-4</v>
      </c>
      <c r="I11" s="531">
        <f t="shared" si="6"/>
        <v>1E-4</v>
      </c>
      <c r="J11" s="531">
        <f t="shared" si="7"/>
        <v>1E-4</v>
      </c>
      <c r="K11" s="531">
        <f t="shared" si="8"/>
        <v>1E-4</v>
      </c>
      <c r="L11" s="531">
        <f t="shared" si="9"/>
        <v>1E-4</v>
      </c>
      <c r="M11" s="531">
        <f t="shared" si="10"/>
        <v>1E-4</v>
      </c>
      <c r="N11" s="531">
        <f t="shared" si="11"/>
        <v>1E-4</v>
      </c>
      <c r="O11" s="531">
        <f t="shared" si="12"/>
        <v>1E-4</v>
      </c>
      <c r="P11" s="531">
        <f t="shared" si="13"/>
        <v>1E-4</v>
      </c>
      <c r="Q11" s="531">
        <f t="shared" si="14"/>
        <v>1E-4</v>
      </c>
      <c r="R11" s="531">
        <f t="shared" si="15"/>
        <v>1E-4</v>
      </c>
      <c r="S11" s="531">
        <f t="shared" si="16"/>
        <v>1E-4</v>
      </c>
      <c r="T11" s="531">
        <f t="shared" si="17"/>
        <v>1E-4</v>
      </c>
      <c r="U11" s="531">
        <f t="shared" si="18"/>
        <v>1E-4</v>
      </c>
      <c r="V11" s="531">
        <f t="shared" si="19"/>
        <v>1E-4</v>
      </c>
      <c r="W11" s="531">
        <f t="shared" si="20"/>
        <v>1E-4</v>
      </c>
      <c r="X11" s="531">
        <f t="shared" si="21"/>
        <v>1E-4</v>
      </c>
      <c r="Y11" s="531">
        <f t="shared" si="22"/>
        <v>1E-4</v>
      </c>
      <c r="Z11" s="531">
        <f t="shared" si="23"/>
        <v>1E-4</v>
      </c>
      <c r="AA11" s="531">
        <f t="shared" si="24"/>
        <v>0</v>
      </c>
      <c r="AB11" s="534"/>
      <c r="AC11" s="533"/>
      <c r="AD11" s="533"/>
      <c r="AE11" s="533"/>
      <c r="AF11" s="533"/>
      <c r="AG11" s="533"/>
      <c r="AH11" s="533"/>
      <c r="AI11" s="533"/>
      <c r="AJ11" s="533"/>
      <c r="AK11" s="551"/>
    </row>
    <row r="12" spans="1:37" ht="18.75" customHeight="1" thickBot="1" x14ac:dyDescent="0.25">
      <c r="A12" s="1438">
        <v>127</v>
      </c>
      <c r="B12" s="1430">
        <f t="shared" si="0"/>
        <v>0</v>
      </c>
      <c r="C12" s="31"/>
      <c r="D12" s="530">
        <f t="shared" si="1"/>
        <v>1.0000000000000001E-5</v>
      </c>
      <c r="E12" s="531">
        <f t="shared" si="2"/>
        <v>1E-4</v>
      </c>
      <c r="F12" s="531">
        <f t="shared" si="3"/>
        <v>1E-4</v>
      </c>
      <c r="G12" s="531">
        <f t="shared" si="4"/>
        <v>1E-4</v>
      </c>
      <c r="H12" s="531">
        <f t="shared" si="5"/>
        <v>1E-4</v>
      </c>
      <c r="I12" s="531">
        <f t="shared" si="6"/>
        <v>1E-4</v>
      </c>
      <c r="J12" s="531">
        <f t="shared" si="7"/>
        <v>1E-4</v>
      </c>
      <c r="K12" s="531">
        <f t="shared" si="8"/>
        <v>1E-4</v>
      </c>
      <c r="L12" s="531">
        <f t="shared" si="9"/>
        <v>1E-4</v>
      </c>
      <c r="M12" s="531">
        <f t="shared" si="10"/>
        <v>1E-4</v>
      </c>
      <c r="N12" s="531">
        <f t="shared" si="11"/>
        <v>1E-4</v>
      </c>
      <c r="O12" s="531">
        <f t="shared" si="12"/>
        <v>1E-4</v>
      </c>
      <c r="P12" s="531">
        <f t="shared" si="13"/>
        <v>1E-4</v>
      </c>
      <c r="Q12" s="531">
        <f t="shared" si="14"/>
        <v>1E-4</v>
      </c>
      <c r="R12" s="531">
        <f t="shared" si="15"/>
        <v>1E-4</v>
      </c>
      <c r="S12" s="531">
        <f t="shared" si="16"/>
        <v>1E-4</v>
      </c>
      <c r="T12" s="531">
        <f t="shared" si="17"/>
        <v>1E-4</v>
      </c>
      <c r="U12" s="531">
        <f t="shared" si="18"/>
        <v>1E-4</v>
      </c>
      <c r="V12" s="531">
        <f t="shared" si="19"/>
        <v>1E-4</v>
      </c>
      <c r="W12" s="531">
        <f t="shared" si="20"/>
        <v>1E-4</v>
      </c>
      <c r="X12" s="531">
        <f t="shared" si="21"/>
        <v>1E-4</v>
      </c>
      <c r="Y12" s="531">
        <f t="shared" si="22"/>
        <v>1E-4</v>
      </c>
      <c r="Z12" s="531">
        <f t="shared" si="23"/>
        <v>1E-4</v>
      </c>
      <c r="AA12" s="531">
        <f t="shared" si="24"/>
        <v>0</v>
      </c>
      <c r="AB12" s="534"/>
      <c r="AC12" s="533"/>
      <c r="AD12" s="533"/>
      <c r="AE12" s="533"/>
      <c r="AF12" s="533"/>
      <c r="AG12" s="533"/>
      <c r="AH12" s="533"/>
      <c r="AI12" s="533"/>
      <c r="AJ12" s="533"/>
      <c r="AK12" s="551"/>
    </row>
    <row r="13" spans="1:37" ht="18.75" customHeight="1" thickBot="1" x14ac:dyDescent="0.25">
      <c r="A13" s="1438">
        <v>127</v>
      </c>
      <c r="B13" s="1430">
        <f t="shared" si="0"/>
        <v>0</v>
      </c>
      <c r="C13" s="31"/>
      <c r="D13" s="530">
        <f t="shared" si="1"/>
        <v>1.0000000000000001E-5</v>
      </c>
      <c r="E13" s="531">
        <f t="shared" si="2"/>
        <v>1E-4</v>
      </c>
      <c r="F13" s="531">
        <f t="shared" si="3"/>
        <v>1E-4</v>
      </c>
      <c r="G13" s="531">
        <f t="shared" si="4"/>
        <v>1E-4</v>
      </c>
      <c r="H13" s="531">
        <f t="shared" si="5"/>
        <v>1E-4</v>
      </c>
      <c r="I13" s="531">
        <f t="shared" si="6"/>
        <v>1E-4</v>
      </c>
      <c r="J13" s="531">
        <f t="shared" si="7"/>
        <v>1E-4</v>
      </c>
      <c r="K13" s="531">
        <f t="shared" si="8"/>
        <v>1E-4</v>
      </c>
      <c r="L13" s="531">
        <f t="shared" si="9"/>
        <v>1E-4</v>
      </c>
      <c r="M13" s="531">
        <f t="shared" si="10"/>
        <v>1E-4</v>
      </c>
      <c r="N13" s="531">
        <f t="shared" si="11"/>
        <v>1E-4</v>
      </c>
      <c r="O13" s="531">
        <f t="shared" si="12"/>
        <v>1E-4</v>
      </c>
      <c r="P13" s="531">
        <f t="shared" si="13"/>
        <v>1E-4</v>
      </c>
      <c r="Q13" s="531">
        <f t="shared" si="14"/>
        <v>1E-4</v>
      </c>
      <c r="R13" s="531">
        <f t="shared" si="15"/>
        <v>1E-4</v>
      </c>
      <c r="S13" s="531">
        <f t="shared" si="16"/>
        <v>1E-4</v>
      </c>
      <c r="T13" s="531">
        <f t="shared" si="17"/>
        <v>1E-4</v>
      </c>
      <c r="U13" s="531">
        <f t="shared" si="18"/>
        <v>1E-4</v>
      </c>
      <c r="V13" s="531">
        <f t="shared" si="19"/>
        <v>1E-4</v>
      </c>
      <c r="W13" s="531">
        <f t="shared" si="20"/>
        <v>1E-4</v>
      </c>
      <c r="X13" s="531">
        <f t="shared" si="21"/>
        <v>1E-4</v>
      </c>
      <c r="Y13" s="531">
        <f t="shared" si="22"/>
        <v>1E-4</v>
      </c>
      <c r="Z13" s="531">
        <f t="shared" si="23"/>
        <v>1E-4</v>
      </c>
      <c r="AA13" s="531">
        <f t="shared" si="24"/>
        <v>0</v>
      </c>
      <c r="AB13" s="534"/>
      <c r="AC13" s="533"/>
      <c r="AD13" s="533"/>
      <c r="AE13" s="533"/>
      <c r="AF13" s="533"/>
      <c r="AG13" s="533"/>
      <c r="AH13" s="533"/>
      <c r="AI13" s="533"/>
      <c r="AJ13" s="533"/>
      <c r="AK13" s="551"/>
    </row>
    <row r="14" spans="1:37" ht="18.75" customHeight="1" thickBot="1" x14ac:dyDescent="0.25">
      <c r="A14" s="1438">
        <v>127</v>
      </c>
      <c r="B14" s="1430">
        <f t="shared" si="0"/>
        <v>0</v>
      </c>
      <c r="C14" s="31"/>
      <c r="D14" s="530">
        <f t="shared" si="1"/>
        <v>1.0000000000000001E-5</v>
      </c>
      <c r="E14" s="531">
        <f t="shared" si="2"/>
        <v>1E-4</v>
      </c>
      <c r="F14" s="531">
        <f t="shared" si="3"/>
        <v>1E-4</v>
      </c>
      <c r="G14" s="531">
        <f t="shared" si="4"/>
        <v>1E-4</v>
      </c>
      <c r="H14" s="531">
        <f t="shared" si="5"/>
        <v>1E-4</v>
      </c>
      <c r="I14" s="531">
        <f t="shared" si="6"/>
        <v>1E-4</v>
      </c>
      <c r="J14" s="531">
        <f t="shared" si="7"/>
        <v>1E-4</v>
      </c>
      <c r="K14" s="531">
        <f t="shared" si="8"/>
        <v>1E-4</v>
      </c>
      <c r="L14" s="531">
        <f t="shared" si="9"/>
        <v>1E-4</v>
      </c>
      <c r="M14" s="531">
        <f t="shared" si="10"/>
        <v>1E-4</v>
      </c>
      <c r="N14" s="531">
        <f t="shared" si="11"/>
        <v>1E-4</v>
      </c>
      <c r="O14" s="531">
        <f t="shared" si="12"/>
        <v>1E-4</v>
      </c>
      <c r="P14" s="531">
        <f t="shared" si="13"/>
        <v>1E-4</v>
      </c>
      <c r="Q14" s="531">
        <f t="shared" si="14"/>
        <v>1E-4</v>
      </c>
      <c r="R14" s="531">
        <f t="shared" si="15"/>
        <v>1E-4</v>
      </c>
      <c r="S14" s="531">
        <f t="shared" si="16"/>
        <v>1E-4</v>
      </c>
      <c r="T14" s="531">
        <f t="shared" si="17"/>
        <v>1E-4</v>
      </c>
      <c r="U14" s="531">
        <f t="shared" si="18"/>
        <v>1E-4</v>
      </c>
      <c r="V14" s="531">
        <f t="shared" si="19"/>
        <v>1E-4</v>
      </c>
      <c r="W14" s="531">
        <f t="shared" si="20"/>
        <v>1E-4</v>
      </c>
      <c r="X14" s="531">
        <f t="shared" si="21"/>
        <v>1E-4</v>
      </c>
      <c r="Y14" s="531">
        <f t="shared" si="22"/>
        <v>1E-4</v>
      </c>
      <c r="Z14" s="531">
        <f t="shared" si="23"/>
        <v>1E-4</v>
      </c>
      <c r="AA14" s="531">
        <f t="shared" si="24"/>
        <v>0</v>
      </c>
      <c r="AB14" s="534"/>
      <c r="AC14" s="533"/>
      <c r="AD14" s="533"/>
      <c r="AE14" s="533"/>
      <c r="AF14" s="533"/>
      <c r="AG14" s="533"/>
      <c r="AH14" s="533"/>
      <c r="AI14" s="533"/>
      <c r="AJ14" s="533"/>
      <c r="AK14" s="551"/>
    </row>
    <row r="15" spans="1:37" ht="18.75" customHeight="1" thickBot="1" x14ac:dyDescent="0.25">
      <c r="A15" s="1438">
        <v>127</v>
      </c>
      <c r="B15" s="1430">
        <f t="shared" si="0"/>
        <v>0</v>
      </c>
      <c r="C15" s="31"/>
      <c r="D15" s="530">
        <f t="shared" si="1"/>
        <v>1.0000000000000001E-5</v>
      </c>
      <c r="E15" s="531">
        <f t="shared" si="2"/>
        <v>1E-4</v>
      </c>
      <c r="F15" s="531">
        <f t="shared" si="3"/>
        <v>1E-4</v>
      </c>
      <c r="G15" s="531">
        <f t="shared" si="4"/>
        <v>1E-4</v>
      </c>
      <c r="H15" s="531">
        <f t="shared" si="5"/>
        <v>1E-4</v>
      </c>
      <c r="I15" s="531">
        <f t="shared" si="6"/>
        <v>1E-4</v>
      </c>
      <c r="J15" s="531">
        <f t="shared" si="7"/>
        <v>1E-4</v>
      </c>
      <c r="K15" s="531">
        <f t="shared" si="8"/>
        <v>1E-4</v>
      </c>
      <c r="L15" s="531">
        <f t="shared" si="9"/>
        <v>1E-4</v>
      </c>
      <c r="M15" s="531">
        <f t="shared" si="10"/>
        <v>1E-4</v>
      </c>
      <c r="N15" s="531">
        <f t="shared" si="11"/>
        <v>1E-4</v>
      </c>
      <c r="O15" s="531">
        <f t="shared" si="12"/>
        <v>1E-4</v>
      </c>
      <c r="P15" s="531">
        <f t="shared" si="13"/>
        <v>1E-4</v>
      </c>
      <c r="Q15" s="531">
        <f t="shared" si="14"/>
        <v>1E-4</v>
      </c>
      <c r="R15" s="531">
        <f t="shared" si="15"/>
        <v>1E-4</v>
      </c>
      <c r="S15" s="531">
        <f t="shared" si="16"/>
        <v>1E-4</v>
      </c>
      <c r="T15" s="531">
        <f t="shared" si="17"/>
        <v>1E-4</v>
      </c>
      <c r="U15" s="531">
        <f t="shared" si="18"/>
        <v>1E-4</v>
      </c>
      <c r="V15" s="531">
        <f t="shared" si="19"/>
        <v>1E-4</v>
      </c>
      <c r="W15" s="531">
        <f t="shared" si="20"/>
        <v>1E-4</v>
      </c>
      <c r="X15" s="531">
        <f t="shared" si="21"/>
        <v>1E-4</v>
      </c>
      <c r="Y15" s="531">
        <f t="shared" si="22"/>
        <v>1E-4</v>
      </c>
      <c r="Z15" s="531">
        <f t="shared" si="23"/>
        <v>1E-4</v>
      </c>
      <c r="AA15" s="531">
        <f t="shared" si="24"/>
        <v>0</v>
      </c>
      <c r="AB15" s="534"/>
      <c r="AC15" s="533"/>
      <c r="AD15" s="533"/>
      <c r="AE15" s="533"/>
      <c r="AF15" s="533"/>
      <c r="AG15" s="533"/>
      <c r="AH15" s="533"/>
      <c r="AI15" s="533"/>
      <c r="AJ15" s="533"/>
      <c r="AK15" s="551"/>
    </row>
    <row r="16" spans="1:37" ht="18.75" customHeight="1" thickBot="1" x14ac:dyDescent="0.25">
      <c r="A16" s="1438">
        <v>127</v>
      </c>
      <c r="B16" s="1430">
        <f t="shared" si="0"/>
        <v>0</v>
      </c>
      <c r="C16" s="31"/>
      <c r="D16" s="530">
        <f t="shared" si="1"/>
        <v>1.0000000000000001E-5</v>
      </c>
      <c r="E16" s="531">
        <f t="shared" si="2"/>
        <v>1E-4</v>
      </c>
      <c r="F16" s="531">
        <f t="shared" si="3"/>
        <v>1E-4</v>
      </c>
      <c r="G16" s="531">
        <f t="shared" si="4"/>
        <v>1E-4</v>
      </c>
      <c r="H16" s="531">
        <f t="shared" si="5"/>
        <v>1E-4</v>
      </c>
      <c r="I16" s="531">
        <f t="shared" si="6"/>
        <v>1E-4</v>
      </c>
      <c r="J16" s="531">
        <f t="shared" si="7"/>
        <v>1E-4</v>
      </c>
      <c r="K16" s="531">
        <f t="shared" si="8"/>
        <v>1E-4</v>
      </c>
      <c r="L16" s="531">
        <f t="shared" si="9"/>
        <v>1E-4</v>
      </c>
      <c r="M16" s="531">
        <f t="shared" si="10"/>
        <v>1E-4</v>
      </c>
      <c r="N16" s="531">
        <f t="shared" si="11"/>
        <v>1E-4</v>
      </c>
      <c r="O16" s="531">
        <f t="shared" si="12"/>
        <v>1E-4</v>
      </c>
      <c r="P16" s="531">
        <f t="shared" si="13"/>
        <v>1E-4</v>
      </c>
      <c r="Q16" s="531">
        <f t="shared" si="14"/>
        <v>1E-4</v>
      </c>
      <c r="R16" s="531">
        <f t="shared" si="15"/>
        <v>1E-4</v>
      </c>
      <c r="S16" s="531">
        <f t="shared" si="16"/>
        <v>1E-4</v>
      </c>
      <c r="T16" s="531">
        <f t="shared" si="17"/>
        <v>1E-4</v>
      </c>
      <c r="U16" s="531">
        <f t="shared" si="18"/>
        <v>1E-4</v>
      </c>
      <c r="V16" s="531">
        <f t="shared" si="19"/>
        <v>1E-4</v>
      </c>
      <c r="W16" s="531">
        <f t="shared" si="20"/>
        <v>1E-4</v>
      </c>
      <c r="X16" s="531">
        <f t="shared" si="21"/>
        <v>1E-4</v>
      </c>
      <c r="Y16" s="531">
        <f t="shared" si="22"/>
        <v>1E-4</v>
      </c>
      <c r="Z16" s="531">
        <f t="shared" si="23"/>
        <v>1E-4</v>
      </c>
      <c r="AA16" s="531">
        <f t="shared" si="24"/>
        <v>0</v>
      </c>
      <c r="AB16" s="534"/>
      <c r="AC16" s="533"/>
      <c r="AD16" s="533"/>
      <c r="AE16" s="533"/>
      <c r="AF16" s="533"/>
      <c r="AG16" s="533"/>
      <c r="AH16" s="533"/>
      <c r="AI16" s="533"/>
      <c r="AJ16" s="533"/>
      <c r="AK16" s="551"/>
    </row>
    <row r="17" spans="1:37" ht="18.75" customHeight="1" thickBot="1" x14ac:dyDescent="0.25">
      <c r="A17" s="1438">
        <v>127</v>
      </c>
      <c r="B17" s="1430">
        <f t="shared" si="0"/>
        <v>0</v>
      </c>
      <c r="C17" s="31"/>
      <c r="D17" s="530">
        <f t="shared" si="1"/>
        <v>1.0000000000000001E-5</v>
      </c>
      <c r="E17" s="531">
        <f t="shared" si="2"/>
        <v>1E-4</v>
      </c>
      <c r="F17" s="531">
        <f t="shared" si="3"/>
        <v>1E-4</v>
      </c>
      <c r="G17" s="531">
        <f t="shared" si="4"/>
        <v>1E-4</v>
      </c>
      <c r="H17" s="531">
        <f t="shared" si="5"/>
        <v>1E-4</v>
      </c>
      <c r="I17" s="531">
        <f t="shared" si="6"/>
        <v>1E-4</v>
      </c>
      <c r="J17" s="531">
        <f t="shared" si="7"/>
        <v>1E-4</v>
      </c>
      <c r="K17" s="531">
        <f t="shared" si="8"/>
        <v>1E-4</v>
      </c>
      <c r="L17" s="531">
        <f t="shared" si="9"/>
        <v>1E-4</v>
      </c>
      <c r="M17" s="531">
        <f t="shared" si="10"/>
        <v>1E-4</v>
      </c>
      <c r="N17" s="531">
        <f t="shared" si="11"/>
        <v>1E-4</v>
      </c>
      <c r="O17" s="531">
        <f t="shared" si="12"/>
        <v>1E-4</v>
      </c>
      <c r="P17" s="531">
        <f t="shared" si="13"/>
        <v>1E-4</v>
      </c>
      <c r="Q17" s="531">
        <f t="shared" si="14"/>
        <v>1E-4</v>
      </c>
      <c r="R17" s="531">
        <f t="shared" si="15"/>
        <v>1E-4</v>
      </c>
      <c r="S17" s="531">
        <f t="shared" si="16"/>
        <v>1E-4</v>
      </c>
      <c r="T17" s="531">
        <f>INDEX(Tabelle,$A18,18)</f>
        <v>1E-4</v>
      </c>
      <c r="U17" s="531">
        <f t="shared" si="18"/>
        <v>1E-4</v>
      </c>
      <c r="V17" s="531">
        <f t="shared" si="19"/>
        <v>1E-4</v>
      </c>
      <c r="W17" s="531">
        <f t="shared" si="20"/>
        <v>1E-4</v>
      </c>
      <c r="X17" s="531">
        <f t="shared" si="21"/>
        <v>1E-4</v>
      </c>
      <c r="Y17" s="531">
        <f t="shared" si="22"/>
        <v>1E-4</v>
      </c>
      <c r="Z17" s="531">
        <f t="shared" si="23"/>
        <v>1E-4</v>
      </c>
      <c r="AA17" s="531">
        <f t="shared" si="24"/>
        <v>0</v>
      </c>
      <c r="AB17" s="534"/>
      <c r="AC17" s="533"/>
      <c r="AD17" s="533"/>
      <c r="AE17" s="533"/>
      <c r="AF17" s="533"/>
      <c r="AG17" s="533"/>
      <c r="AH17" s="533"/>
      <c r="AI17" s="533"/>
      <c r="AJ17" s="533"/>
      <c r="AK17" s="551"/>
    </row>
    <row r="18" spans="1:37" ht="18.75" customHeight="1" thickBot="1" x14ac:dyDescent="0.25">
      <c r="A18" s="1438">
        <v>127</v>
      </c>
      <c r="B18" s="1430">
        <f t="shared" si="0"/>
        <v>0</v>
      </c>
      <c r="C18" s="31"/>
      <c r="D18" s="530">
        <f t="shared" si="1"/>
        <v>1.0000000000000001E-5</v>
      </c>
      <c r="E18" s="531">
        <f t="shared" si="2"/>
        <v>1E-4</v>
      </c>
      <c r="F18" s="531">
        <f t="shared" si="3"/>
        <v>1E-4</v>
      </c>
      <c r="G18" s="531">
        <f t="shared" si="4"/>
        <v>1E-4</v>
      </c>
      <c r="H18" s="531">
        <f t="shared" si="5"/>
        <v>1E-4</v>
      </c>
      <c r="I18" s="531">
        <f t="shared" si="6"/>
        <v>1E-4</v>
      </c>
      <c r="J18" s="531">
        <f t="shared" si="7"/>
        <v>1E-4</v>
      </c>
      <c r="K18" s="531">
        <f t="shared" si="8"/>
        <v>1E-4</v>
      </c>
      <c r="L18" s="531">
        <f t="shared" si="9"/>
        <v>1E-4</v>
      </c>
      <c r="M18" s="531">
        <f t="shared" si="10"/>
        <v>1E-4</v>
      </c>
      <c r="N18" s="531">
        <f t="shared" si="11"/>
        <v>1E-4</v>
      </c>
      <c r="O18" s="531">
        <f t="shared" si="12"/>
        <v>1E-4</v>
      </c>
      <c r="P18" s="531">
        <f t="shared" si="13"/>
        <v>1E-4</v>
      </c>
      <c r="Q18" s="531">
        <f t="shared" si="14"/>
        <v>1E-4</v>
      </c>
      <c r="R18" s="531">
        <f t="shared" si="15"/>
        <v>1E-4</v>
      </c>
      <c r="S18" s="531">
        <f t="shared" si="16"/>
        <v>1E-4</v>
      </c>
      <c r="T18" s="531">
        <f>INDEX(Tabelle,$A18,18)</f>
        <v>1E-4</v>
      </c>
      <c r="U18" s="531">
        <f t="shared" si="18"/>
        <v>1E-4</v>
      </c>
      <c r="V18" s="531">
        <f t="shared" si="19"/>
        <v>1E-4</v>
      </c>
      <c r="W18" s="531">
        <f t="shared" si="20"/>
        <v>1E-4</v>
      </c>
      <c r="X18" s="531">
        <f t="shared" si="21"/>
        <v>1E-4</v>
      </c>
      <c r="Y18" s="531">
        <f t="shared" si="22"/>
        <v>1E-4</v>
      </c>
      <c r="Z18" s="531">
        <f t="shared" si="23"/>
        <v>1E-4</v>
      </c>
      <c r="AA18" s="531">
        <f t="shared" si="24"/>
        <v>0</v>
      </c>
      <c r="AB18" s="534"/>
      <c r="AC18" s="533"/>
      <c r="AD18" s="533"/>
      <c r="AE18" s="533"/>
      <c r="AF18" s="533"/>
      <c r="AG18" s="533"/>
      <c r="AH18" s="533"/>
      <c r="AI18" s="533"/>
      <c r="AJ18" s="533"/>
      <c r="AK18" s="551"/>
    </row>
    <row r="19" spans="1:37" ht="18.75" customHeight="1" thickBot="1" x14ac:dyDescent="0.25">
      <c r="A19" s="1438">
        <v>127</v>
      </c>
      <c r="B19" s="1430">
        <f t="shared" si="0"/>
        <v>0</v>
      </c>
      <c r="C19" s="31"/>
      <c r="D19" s="530">
        <f t="shared" si="1"/>
        <v>1.0000000000000001E-5</v>
      </c>
      <c r="E19" s="531">
        <f t="shared" si="2"/>
        <v>1E-4</v>
      </c>
      <c r="F19" s="531">
        <f t="shared" si="3"/>
        <v>1E-4</v>
      </c>
      <c r="G19" s="531">
        <f t="shared" si="4"/>
        <v>1E-4</v>
      </c>
      <c r="H19" s="531">
        <f t="shared" si="5"/>
        <v>1E-4</v>
      </c>
      <c r="I19" s="531">
        <f t="shared" si="6"/>
        <v>1E-4</v>
      </c>
      <c r="J19" s="531">
        <f t="shared" si="7"/>
        <v>1E-4</v>
      </c>
      <c r="K19" s="531">
        <f t="shared" si="8"/>
        <v>1E-4</v>
      </c>
      <c r="L19" s="531">
        <f t="shared" si="9"/>
        <v>1E-4</v>
      </c>
      <c r="M19" s="531">
        <f t="shared" si="10"/>
        <v>1E-4</v>
      </c>
      <c r="N19" s="531">
        <f t="shared" si="11"/>
        <v>1E-4</v>
      </c>
      <c r="O19" s="531">
        <f t="shared" si="12"/>
        <v>1E-4</v>
      </c>
      <c r="P19" s="531">
        <f t="shared" si="13"/>
        <v>1E-4</v>
      </c>
      <c r="Q19" s="531">
        <f t="shared" si="14"/>
        <v>1E-4</v>
      </c>
      <c r="R19" s="531">
        <f t="shared" si="15"/>
        <v>1E-4</v>
      </c>
      <c r="S19" s="531">
        <f t="shared" si="16"/>
        <v>1E-4</v>
      </c>
      <c r="T19" s="531">
        <f>INDEX(Tabelle,$A19,18)</f>
        <v>1E-4</v>
      </c>
      <c r="U19" s="531">
        <f t="shared" si="18"/>
        <v>1E-4</v>
      </c>
      <c r="V19" s="531">
        <f t="shared" si="19"/>
        <v>1E-4</v>
      </c>
      <c r="W19" s="531">
        <f t="shared" si="20"/>
        <v>1E-4</v>
      </c>
      <c r="X19" s="531">
        <f t="shared" si="21"/>
        <v>1E-4</v>
      </c>
      <c r="Y19" s="531">
        <f t="shared" si="22"/>
        <v>1E-4</v>
      </c>
      <c r="Z19" s="531">
        <f t="shared" si="23"/>
        <v>1E-4</v>
      </c>
      <c r="AA19" s="531">
        <f t="shared" si="24"/>
        <v>0</v>
      </c>
      <c r="AB19" s="533"/>
      <c r="AC19" s="533"/>
      <c r="AD19" s="533"/>
      <c r="AE19" s="533"/>
      <c r="AF19" s="533"/>
      <c r="AG19" s="533"/>
      <c r="AH19" s="533"/>
      <c r="AI19" s="533"/>
      <c r="AJ19" s="533"/>
      <c r="AK19" s="551"/>
    </row>
    <row r="20" spans="1:37" ht="18.75" customHeight="1" x14ac:dyDescent="0.2">
      <c r="A20" s="1438">
        <v>167</v>
      </c>
      <c r="B20" s="1430">
        <f t="shared" si="0"/>
        <v>0</v>
      </c>
      <c r="C20" s="31"/>
      <c r="D20" s="530">
        <f t="shared" si="1"/>
        <v>1.0000000000000001E-5</v>
      </c>
      <c r="E20" s="531">
        <f t="shared" si="2"/>
        <v>1E-4</v>
      </c>
      <c r="F20" s="531">
        <f t="shared" si="3"/>
        <v>1E-4</v>
      </c>
      <c r="G20" s="531">
        <f t="shared" si="4"/>
        <v>1E-4</v>
      </c>
      <c r="H20" s="531">
        <f t="shared" si="5"/>
        <v>1E-4</v>
      </c>
      <c r="I20" s="531">
        <f t="shared" si="6"/>
        <v>1E-4</v>
      </c>
      <c r="J20" s="531">
        <f t="shared" si="7"/>
        <v>1E-4</v>
      </c>
      <c r="K20" s="531">
        <f t="shared" si="8"/>
        <v>1E-4</v>
      </c>
      <c r="L20" s="531">
        <f t="shared" si="9"/>
        <v>1E-4</v>
      </c>
      <c r="M20" s="531">
        <f t="shared" si="10"/>
        <v>1E-4</v>
      </c>
      <c r="N20" s="531">
        <f t="shared" si="11"/>
        <v>1E-4</v>
      </c>
      <c r="O20" s="531">
        <f t="shared" si="12"/>
        <v>1E-4</v>
      </c>
      <c r="P20" s="531">
        <f t="shared" si="13"/>
        <v>1E-4</v>
      </c>
      <c r="Q20" s="531">
        <f t="shared" si="14"/>
        <v>1E-4</v>
      </c>
      <c r="R20" s="531">
        <f t="shared" si="15"/>
        <v>1E-4</v>
      </c>
      <c r="S20" s="531">
        <f t="shared" si="16"/>
        <v>1E-4</v>
      </c>
      <c r="T20" s="531">
        <f>INDEX(Tabelle,$A20,18)</f>
        <v>1E-4</v>
      </c>
      <c r="U20" s="531">
        <f t="shared" si="18"/>
        <v>1E-4</v>
      </c>
      <c r="V20" s="531">
        <f t="shared" si="19"/>
        <v>1E-4</v>
      </c>
      <c r="W20" s="531">
        <f t="shared" si="20"/>
        <v>1E-4</v>
      </c>
      <c r="X20" s="531">
        <f t="shared" si="21"/>
        <v>1E-4</v>
      </c>
      <c r="Y20" s="531">
        <f t="shared" si="22"/>
        <v>1E-4</v>
      </c>
      <c r="Z20" s="531">
        <f t="shared" si="23"/>
        <v>1E-4</v>
      </c>
      <c r="AA20" s="531">
        <f t="shared" si="24"/>
        <v>0</v>
      </c>
      <c r="AB20" s="533"/>
      <c r="AC20" s="533"/>
      <c r="AD20" s="533"/>
      <c r="AE20" s="533"/>
      <c r="AF20" s="533"/>
      <c r="AG20" s="533"/>
      <c r="AH20" s="533"/>
      <c r="AI20" s="533"/>
      <c r="AJ20" s="533"/>
      <c r="AK20" s="551"/>
    </row>
    <row r="21" spans="1:37" ht="21" customHeight="1" x14ac:dyDescent="0.2">
      <c r="A21" s="547"/>
      <c r="B21" s="1431"/>
      <c r="C21" s="555" t="s">
        <v>32</v>
      </c>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7">
        <f>SUM(AB3:AB20)</f>
        <v>0</v>
      </c>
      <c r="AC21" s="557">
        <f t="shared" ref="AC21:AJ21" si="25">SUM(AC3:AC20)</f>
        <v>0</v>
      </c>
      <c r="AD21" s="557">
        <f t="shared" si="25"/>
        <v>0</v>
      </c>
      <c r="AE21" s="557">
        <f t="shared" si="25"/>
        <v>0</v>
      </c>
      <c r="AF21" s="557">
        <f t="shared" si="25"/>
        <v>0</v>
      </c>
      <c r="AG21" s="557">
        <f t="shared" si="25"/>
        <v>0</v>
      </c>
      <c r="AH21" s="557">
        <f t="shared" si="25"/>
        <v>0</v>
      </c>
      <c r="AI21" s="557">
        <f t="shared" si="25"/>
        <v>0</v>
      </c>
      <c r="AJ21" s="558">
        <f t="shared" si="25"/>
        <v>0</v>
      </c>
      <c r="AK21" s="551"/>
    </row>
    <row r="22" spans="1:37" ht="10.5" customHeight="1" x14ac:dyDescent="0.2">
      <c r="A22" s="547"/>
      <c r="B22" s="1432"/>
      <c r="C22" s="508"/>
      <c r="D22" s="508"/>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51"/>
    </row>
    <row r="23" spans="1:37" ht="17.25" customHeight="1" x14ac:dyDescent="0.2">
      <c r="A23" s="547"/>
      <c r="B23" s="1433"/>
      <c r="C23" s="1424" t="s">
        <v>219</v>
      </c>
      <c r="D23" s="535"/>
      <c r="E23" s="535"/>
      <c r="F23" s="535"/>
      <c r="G23" s="535"/>
      <c r="H23" s="535"/>
      <c r="I23" s="535"/>
      <c r="J23" s="535"/>
      <c r="K23" s="535"/>
      <c r="L23" s="535"/>
      <c r="M23" s="535"/>
      <c r="N23" s="535"/>
      <c r="O23" s="535"/>
      <c r="P23" s="535"/>
      <c r="Q23" s="535"/>
      <c r="R23" s="535"/>
      <c r="S23" s="535"/>
      <c r="T23" s="535"/>
      <c r="U23" s="535"/>
      <c r="V23" s="535"/>
      <c r="W23" s="535"/>
      <c r="X23" s="535"/>
      <c r="Y23" s="1154"/>
      <c r="Z23" s="1422"/>
      <c r="AA23" s="535"/>
      <c r="AB23" s="535" t="str">
        <f>IF(AB24=0,"",IF(AB24&lt;=6.45,"II",IF(AB24&lt;=6.95,"III","IV")))</f>
        <v/>
      </c>
      <c r="AC23" s="535" t="str">
        <f t="shared" ref="AC23:AJ23" si="26">IF(AC24=0,"",IF(AC24&lt;=6.45,"II",IF(AC24&lt;=6.95,"III","IV")))</f>
        <v/>
      </c>
      <c r="AD23" s="535" t="str">
        <f t="shared" si="26"/>
        <v/>
      </c>
      <c r="AE23" s="535" t="str">
        <f t="shared" si="26"/>
        <v/>
      </c>
      <c r="AF23" s="535" t="str">
        <f t="shared" si="26"/>
        <v/>
      </c>
      <c r="AG23" s="535" t="str">
        <f t="shared" si="26"/>
        <v/>
      </c>
      <c r="AH23" s="535" t="str">
        <f t="shared" si="26"/>
        <v/>
      </c>
      <c r="AI23" s="535" t="str">
        <f t="shared" si="26"/>
        <v/>
      </c>
      <c r="AJ23" s="535" t="str">
        <f t="shared" si="26"/>
        <v/>
      </c>
      <c r="AK23" s="551"/>
    </row>
    <row r="24" spans="1:37" ht="17.25" customHeight="1" x14ac:dyDescent="0.2">
      <c r="A24" s="547"/>
      <c r="B24" s="1434"/>
      <c r="C24" s="1425" t="s">
        <v>217</v>
      </c>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8">
        <f>AB28*AB27/100</f>
        <v>0</v>
      </c>
      <c r="AC24" s="538">
        <f t="shared" ref="AC24:AJ24" si="27">AC28*AC27/100</f>
        <v>0</v>
      </c>
      <c r="AD24" s="538">
        <f t="shared" si="27"/>
        <v>0</v>
      </c>
      <c r="AE24" s="538">
        <f t="shared" si="27"/>
        <v>0</v>
      </c>
      <c r="AF24" s="538">
        <f t="shared" si="27"/>
        <v>0</v>
      </c>
      <c r="AG24" s="538">
        <f t="shared" si="27"/>
        <v>0</v>
      </c>
      <c r="AH24" s="538">
        <f t="shared" si="27"/>
        <v>0</v>
      </c>
      <c r="AI24" s="538">
        <f t="shared" si="27"/>
        <v>0</v>
      </c>
      <c r="AJ24" s="538">
        <f t="shared" si="27"/>
        <v>0</v>
      </c>
      <c r="AK24" s="551"/>
    </row>
    <row r="25" spans="1:37" ht="17.25" customHeight="1" x14ac:dyDescent="0.2">
      <c r="A25" s="547"/>
      <c r="B25" s="1434"/>
      <c r="C25" s="1425" t="s">
        <v>218</v>
      </c>
      <c r="D25" s="537"/>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9">
        <f>AB30*AB27/100</f>
        <v>0</v>
      </c>
      <c r="AC25" s="539">
        <f t="shared" ref="AC25:AJ25" si="28">AC30*AC27/100</f>
        <v>0</v>
      </c>
      <c r="AD25" s="539">
        <f t="shared" si="28"/>
        <v>0</v>
      </c>
      <c r="AE25" s="539">
        <f t="shared" si="28"/>
        <v>0</v>
      </c>
      <c r="AF25" s="539">
        <f t="shared" si="28"/>
        <v>0</v>
      </c>
      <c r="AG25" s="539">
        <f t="shared" si="28"/>
        <v>0</v>
      </c>
      <c r="AH25" s="539">
        <f t="shared" si="28"/>
        <v>0</v>
      </c>
      <c r="AI25" s="539">
        <f t="shared" si="28"/>
        <v>0</v>
      </c>
      <c r="AJ25" s="539">
        <f t="shared" si="28"/>
        <v>0</v>
      </c>
      <c r="AK25" s="551"/>
    </row>
    <row r="26" spans="1:37" ht="17.25" customHeight="1" x14ac:dyDescent="0.2">
      <c r="A26" s="547"/>
      <c r="B26" s="1434"/>
      <c r="C26" s="1425" t="s">
        <v>467</v>
      </c>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1423">
        <f t="shared" ref="AB26:AJ26" si="29">ROUND(AB$3*$AA$3+AB$4*$AA$4+AB$5*$AA$5+AB$6*$AA$6+AB$7*$AA$7+AB$8*$AA$8+AB$9*$AA$9+AB$10*$AA$10+AB$11*$AA$11+AB$12*$AA$12+AB$13*$AA$13+AB$14*$AA$14+AB$15*$AA$15+AB$16*$AA$16+AB$17*$AA$17+AB$18*$AA$18+AB$19*$AA$19+AB$20*$AA$20,-1)</f>
        <v>0</v>
      </c>
      <c r="AC26" s="1423">
        <f t="shared" si="29"/>
        <v>0</v>
      </c>
      <c r="AD26" s="1423">
        <f t="shared" si="29"/>
        <v>0</v>
      </c>
      <c r="AE26" s="1423">
        <f t="shared" si="29"/>
        <v>0</v>
      </c>
      <c r="AF26" s="1423">
        <f t="shared" si="29"/>
        <v>0</v>
      </c>
      <c r="AG26" s="1423">
        <f t="shared" si="29"/>
        <v>0</v>
      </c>
      <c r="AH26" s="1423">
        <f t="shared" si="29"/>
        <v>0</v>
      </c>
      <c r="AI26" s="1423">
        <f t="shared" si="29"/>
        <v>0</v>
      </c>
      <c r="AJ26" s="1423">
        <f t="shared" si="29"/>
        <v>0</v>
      </c>
      <c r="AK26" s="551"/>
    </row>
    <row r="27" spans="1:37" ht="15.75" customHeight="1" x14ac:dyDescent="0.2">
      <c r="A27" s="547"/>
      <c r="B27" s="1434"/>
      <c r="C27" s="1426" t="str">
        <f>D2&amp;", %"</f>
        <v>TS, %</v>
      </c>
      <c r="D27" s="540"/>
      <c r="E27" s="540"/>
      <c r="F27" s="540"/>
      <c r="G27" s="540"/>
      <c r="H27" s="540"/>
      <c r="I27" s="540"/>
      <c r="J27" s="540"/>
      <c r="K27" s="540"/>
      <c r="L27" s="540"/>
      <c r="M27" s="540"/>
      <c r="N27" s="540"/>
      <c r="O27" s="540"/>
      <c r="P27" s="540"/>
      <c r="Q27" s="540"/>
      <c r="R27" s="540"/>
      <c r="S27" s="540"/>
      <c r="T27" s="540"/>
      <c r="U27" s="540"/>
      <c r="V27" s="540"/>
      <c r="W27" s="540"/>
      <c r="X27" s="540"/>
      <c r="Y27" s="540"/>
      <c r="Z27" s="540"/>
      <c r="AA27" s="536"/>
      <c r="AB27" s="541">
        <f>ROUND(AB$3*$D$3+AB$4*$D$4+AB$5*$D$5+AB$6*$D$6+AB$7*$D$7+AB$8*$D$8+AB$9*$D$9+AB$10*$D$10+AB$11*$D$11+AB$12*$D$12+AB$13*$D$13+AB$14*$D$14+AB$15*$D$15+AB$16*$D$16+AB$17*$D$17+AB$18*$D$18+AB$19*$D$19+AB$20*$D$20,-1)</f>
        <v>0</v>
      </c>
      <c r="AC27" s="541">
        <f>ROUND(AC$3*$D$3+AC$4*$D$4+AC$5*$D$5+AC$6*$D$6+AC$7*$D$7+AC$8*$D$8+AC$9*$D$9+AC$10*$D$10+AC$11*$D$11+AC$12*$D$12+AC$13*$D$13+AC$14*$D$14+AC$15*$D$15+AC$16*$D$16+AC$17*$D$17+AC$18*$D$18+AC$19*$D$19+AC$20*$D$20,-1)</f>
        <v>0</v>
      </c>
      <c r="AD27" s="541">
        <f t="shared" ref="AD27:AJ27" si="30">ROUND(AD$3*$D$3+AD$4*$D$4+AD$5*$D$5+AD$6*$D$6+AD$7*$D$7+AD$8*$D$8+AD$9*$D$9+AD$10*$D$10+AD$11*$D$11+AD$12*$D$12+AD$13*$D$13+AD$14*$D$14+AD$15*$D$15+AD$16*$D$16+AD$17*$D$17+AD$18*$D$18+AD$19*$D$19+AD$20*$D$20,-1)</f>
        <v>0</v>
      </c>
      <c r="AE27" s="541">
        <f t="shared" si="30"/>
        <v>0</v>
      </c>
      <c r="AF27" s="541">
        <f t="shared" si="30"/>
        <v>0</v>
      </c>
      <c r="AG27" s="541">
        <f t="shared" si="30"/>
        <v>0</v>
      </c>
      <c r="AH27" s="541">
        <f t="shared" si="30"/>
        <v>0</v>
      </c>
      <c r="AI27" s="541">
        <f t="shared" si="30"/>
        <v>0</v>
      </c>
      <c r="AJ27" s="541">
        <f t="shared" si="30"/>
        <v>0</v>
      </c>
      <c r="AK27" s="551"/>
    </row>
    <row r="28" spans="1:37" ht="15.75" customHeight="1" x14ac:dyDescent="0.2">
      <c r="A28" s="547"/>
      <c r="B28" s="1434"/>
      <c r="C28" s="1426" t="str">
        <f>E2&amp;", MJ"</f>
        <v>NEL, MJ</v>
      </c>
      <c r="D28" s="540"/>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1">
        <f>ROUND(AB$3*$E$3+AB$4*$E$4+AB$5*$E$5+AB$6*$E$6+AB$7*$E$7+AB$8*$E$8+AB$9*$E$9+AB$10*$E$10+AB$11*$E$11+AB$12*$E$12+AB$13*$E$13+AB$14*$E$14+AB$15*$E$15+AB$16*$E$16+AB$17*$E$17+AB$18*$E$18+AB$19*$E$19+AB$20*$E$20,1)</f>
        <v>0</v>
      </c>
      <c r="AC28" s="541">
        <f t="shared" ref="AC28:AJ28" si="31">ROUND(AC$3*$E$3+AC$4*$E$4+AC$5*$E$5+AC$6*$E$6+AC$7*$E$7+AC$8*$E$8+AC$9*$E$9+AC$10*$E$10+AC$11*$E$11+AC$12*$E$12+AC$13*$E$13+AC$14*$E$14+AC$15*$E$15+AC$16*$E$16+AC$17*$E$17+AC$18*$E$18+AC$19*$E$19+AC$20*$E$20,1)</f>
        <v>0</v>
      </c>
      <c r="AD28" s="541">
        <f t="shared" si="31"/>
        <v>0</v>
      </c>
      <c r="AE28" s="541">
        <f t="shared" si="31"/>
        <v>0</v>
      </c>
      <c r="AF28" s="541">
        <f t="shared" si="31"/>
        <v>0</v>
      </c>
      <c r="AG28" s="541">
        <f t="shared" si="31"/>
        <v>0</v>
      </c>
      <c r="AH28" s="541">
        <f t="shared" si="31"/>
        <v>0</v>
      </c>
      <c r="AI28" s="541">
        <f t="shared" si="31"/>
        <v>0</v>
      </c>
      <c r="AJ28" s="541">
        <f t="shared" si="31"/>
        <v>0</v>
      </c>
      <c r="AK28" s="551"/>
    </row>
    <row r="29" spans="1:37" ht="15.75" customHeight="1" x14ac:dyDescent="0.2">
      <c r="A29" s="547"/>
      <c r="B29" s="1434"/>
      <c r="C29" s="1426" t="str">
        <f>F2&amp;", MJ"</f>
        <v>ME, MJ</v>
      </c>
      <c r="D29" s="54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1">
        <f t="shared" ref="AB29:AJ29" si="32">AB$3*$F$3+AB$4*$F$4+AB$5*$F$5+AB$6*$F$6+AB$7*$F$7+AB$8*$F$8+AB$9*$F$9+AB$10*$F$10+AB$11*$F$11+AB$12*$F$12+AB$13*$F$13+AB$14*$F$14+AB$15*$F$15+AB$16*$F$16+AB$17*$F$17+AB$18*$F$18+AB$19*$F$19+AB$20*$F$20</f>
        <v>0</v>
      </c>
      <c r="AC29" s="541">
        <f t="shared" si="32"/>
        <v>0</v>
      </c>
      <c r="AD29" s="541">
        <f t="shared" si="32"/>
        <v>0</v>
      </c>
      <c r="AE29" s="541">
        <f t="shared" si="32"/>
        <v>0</v>
      </c>
      <c r="AF29" s="541">
        <f t="shared" si="32"/>
        <v>0</v>
      </c>
      <c r="AG29" s="541">
        <f t="shared" si="32"/>
        <v>0</v>
      </c>
      <c r="AH29" s="541">
        <f t="shared" si="32"/>
        <v>0</v>
      </c>
      <c r="AI29" s="541">
        <f t="shared" si="32"/>
        <v>0</v>
      </c>
      <c r="AJ29" s="541">
        <f t="shared" si="32"/>
        <v>0</v>
      </c>
      <c r="AK29" s="551"/>
    </row>
    <row r="30" spans="1:37" ht="15.75" customHeight="1" x14ac:dyDescent="0.2">
      <c r="A30" s="547"/>
      <c r="B30" s="1434"/>
      <c r="C30" s="1426" t="str">
        <f>G2&amp;", g/kg TM"</f>
        <v>XP, g/kg TM</v>
      </c>
      <c r="D30" s="54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2">
        <f t="shared" ref="AB30:AJ30" si="33">AB$3*$G$3+AB$4*$G$4+AB$5*$G$5+AB$6*$G$6+AB$7*$G$7+AB$8*$G$8+AB$9*$G$9+AB$10*$G$10+AB$11*$G$11+AB$12*$G$12+AB$13*$G$13+AB$14*$G$14+AB$15*$G$15+AB$16*$G$16+AB$17*$G$17+AB$18*$G$18+AB$19*$G$19+AB$20*$G$20</f>
        <v>0</v>
      </c>
      <c r="AC30" s="542">
        <f t="shared" si="33"/>
        <v>0</v>
      </c>
      <c r="AD30" s="542">
        <f t="shared" si="33"/>
        <v>0</v>
      </c>
      <c r="AE30" s="542">
        <f t="shared" si="33"/>
        <v>0</v>
      </c>
      <c r="AF30" s="542">
        <f t="shared" si="33"/>
        <v>0</v>
      </c>
      <c r="AG30" s="542">
        <f t="shared" si="33"/>
        <v>0</v>
      </c>
      <c r="AH30" s="542">
        <f t="shared" si="33"/>
        <v>0</v>
      </c>
      <c r="AI30" s="542">
        <f t="shared" si="33"/>
        <v>0</v>
      </c>
      <c r="AJ30" s="542">
        <f t="shared" si="33"/>
        <v>0</v>
      </c>
      <c r="AK30" s="551"/>
    </row>
    <row r="31" spans="1:37" ht="15.75" customHeight="1" x14ac:dyDescent="0.2">
      <c r="A31" s="547"/>
      <c r="B31" s="1434"/>
      <c r="C31" s="1426" t="str">
        <f>H2</f>
        <v>UDP</v>
      </c>
      <c r="D31" s="540"/>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3">
        <f t="shared" ref="AB31:AJ31" si="34">AB$3*$H$3+AB$4*$H$4+AB$5*$H$5+AB$6*$H$6+AB$7*$H$7+AB$8*$H$8+AB$9*$H$9+AB$10*$H$10+AB$11*$H$11+AB$12*$H$12+AB$13*$H$13+AB$14*$H$14+AB$15*$H$15+AB$16*$H$16+AB$17*$H$17+AB$18*$H$18+AB$19*$H$19+AB$20*$H$20</f>
        <v>0</v>
      </c>
      <c r="AC31" s="543">
        <f t="shared" si="34"/>
        <v>0</v>
      </c>
      <c r="AD31" s="543">
        <f t="shared" si="34"/>
        <v>0</v>
      </c>
      <c r="AE31" s="543">
        <f t="shared" si="34"/>
        <v>0</v>
      </c>
      <c r="AF31" s="543">
        <f t="shared" si="34"/>
        <v>0</v>
      </c>
      <c r="AG31" s="543">
        <f t="shared" si="34"/>
        <v>0</v>
      </c>
      <c r="AH31" s="543">
        <f t="shared" si="34"/>
        <v>0</v>
      </c>
      <c r="AI31" s="543">
        <f t="shared" si="34"/>
        <v>0</v>
      </c>
      <c r="AJ31" s="543">
        <f t="shared" si="34"/>
        <v>0</v>
      </c>
      <c r="AK31" s="551"/>
    </row>
    <row r="32" spans="1:37" ht="15.75" customHeight="1" x14ac:dyDescent="0.2">
      <c r="A32" s="547"/>
      <c r="B32" s="1434"/>
      <c r="C32" s="1426" t="str">
        <f>I2&amp;", g/kg TM"</f>
        <v>nXP, g/kg TM</v>
      </c>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2">
        <f t="shared" ref="AB32:AJ32" si="35">AB$3*$I$3+AB$4*$I$4+AB$5*$I$5+AB$6*$I$6+AB$7*$I$7+AB$8*$I$8+AB$9*$I$9+AB$10*$I$10+AB$11*$I$11+AB$12*$I$12+AB$13*$I$13+AB$14*$I$14+AB$15*$I$15+AB$16*$I$16+AB$17*$I$17+AB$18*$I$18+AB$19*$I$19+AB$20*$I$20</f>
        <v>0</v>
      </c>
      <c r="AC32" s="542">
        <f t="shared" si="35"/>
        <v>0</v>
      </c>
      <c r="AD32" s="542">
        <f t="shared" si="35"/>
        <v>0</v>
      </c>
      <c r="AE32" s="542">
        <f t="shared" si="35"/>
        <v>0</v>
      </c>
      <c r="AF32" s="542">
        <f t="shared" si="35"/>
        <v>0</v>
      </c>
      <c r="AG32" s="542">
        <f t="shared" si="35"/>
        <v>0</v>
      </c>
      <c r="AH32" s="542">
        <f t="shared" si="35"/>
        <v>0</v>
      </c>
      <c r="AI32" s="542">
        <f t="shared" si="35"/>
        <v>0</v>
      </c>
      <c r="AJ32" s="542">
        <f t="shared" si="35"/>
        <v>0</v>
      </c>
      <c r="AK32" s="551"/>
    </row>
    <row r="33" spans="1:37" ht="15.75" customHeight="1" x14ac:dyDescent="0.2">
      <c r="A33" s="547"/>
      <c r="B33" s="1434"/>
      <c r="C33" s="1426" t="str">
        <f>J2&amp;", g/kg TM"</f>
        <v>RNB, g/kg TM</v>
      </c>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0"/>
      <c r="AB33" s="541">
        <f t="shared" ref="AB33:AJ33" si="36">AB$3*$J$3+AB$4*$J$4+AB$5*$J$5+AB$6*$J$6+AB$7*$J$7+AB$8*$J$8+AB$9*$J$9+AB$10*$J$10+AB$11*$J$11+AB$12*$J$12+AB$13*$J$13+AB$14*$J$14+AB$15*$J$15+AB$16*$J$16+AB$17*$J$17+AB$18*$J$18+AB$19*$J$19+AB$20*$J$20</f>
        <v>0</v>
      </c>
      <c r="AC33" s="541">
        <f t="shared" si="36"/>
        <v>0</v>
      </c>
      <c r="AD33" s="541">
        <f t="shared" si="36"/>
        <v>0</v>
      </c>
      <c r="AE33" s="541">
        <f t="shared" si="36"/>
        <v>0</v>
      </c>
      <c r="AF33" s="541">
        <f t="shared" si="36"/>
        <v>0</v>
      </c>
      <c r="AG33" s="541">
        <f t="shared" si="36"/>
        <v>0</v>
      </c>
      <c r="AH33" s="541">
        <f t="shared" si="36"/>
        <v>0</v>
      </c>
      <c r="AI33" s="541">
        <f t="shared" si="36"/>
        <v>0</v>
      </c>
      <c r="AJ33" s="541">
        <f t="shared" si="36"/>
        <v>0</v>
      </c>
      <c r="AK33" s="551"/>
    </row>
    <row r="34" spans="1:37" ht="15.75" customHeight="1" x14ac:dyDescent="0.2">
      <c r="A34" s="547"/>
      <c r="B34" s="1434"/>
      <c r="C34" s="1426" t="str">
        <f>K2&amp;", g/kg TM"</f>
        <v>SW, g/kg TM</v>
      </c>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1">
        <f t="shared" ref="AB34:AJ34" si="37">AB$3*$K$3+AB$4*$K$4+AB$5*$K$5+AB$6*$K$6+AB$7*$K$7+AB$8*$K$8+AB$9*$K$9+AB$10*$K$10+AB$11*$K$11+AB$12*$K$12+AB$13*$K$13+AB$14*$K$14+AB$15*$K$15+AB$16*$K$16+AB$17*$K$17+AB$18*$K$18+AB$19*$K$19+AB$20*$K$20</f>
        <v>0</v>
      </c>
      <c r="AC34" s="541">
        <f t="shared" si="37"/>
        <v>0</v>
      </c>
      <c r="AD34" s="541">
        <f t="shared" si="37"/>
        <v>0</v>
      </c>
      <c r="AE34" s="541">
        <f t="shared" si="37"/>
        <v>0</v>
      </c>
      <c r="AF34" s="541">
        <f t="shared" si="37"/>
        <v>0</v>
      </c>
      <c r="AG34" s="541">
        <f t="shared" si="37"/>
        <v>0</v>
      </c>
      <c r="AH34" s="541">
        <f t="shared" si="37"/>
        <v>0</v>
      </c>
      <c r="AI34" s="541">
        <f t="shared" si="37"/>
        <v>0</v>
      </c>
      <c r="AJ34" s="541">
        <f t="shared" si="37"/>
        <v>0</v>
      </c>
      <c r="AK34" s="551"/>
    </row>
    <row r="35" spans="1:37" ht="15.75" customHeight="1" x14ac:dyDescent="0.2">
      <c r="A35" s="547"/>
      <c r="B35" s="1434"/>
      <c r="C35" s="1426" t="str">
        <f>L2&amp;", g/kg TM"</f>
        <v>ADF, g/kg TM</v>
      </c>
      <c r="D35" s="540"/>
      <c r="E35" s="540"/>
      <c r="F35" s="540"/>
      <c r="G35" s="540"/>
      <c r="H35" s="540"/>
      <c r="I35" s="540"/>
      <c r="J35" s="540"/>
      <c r="K35" s="540"/>
      <c r="L35" s="540"/>
      <c r="M35" s="540"/>
      <c r="N35" s="540"/>
      <c r="O35" s="540"/>
      <c r="P35" s="540"/>
      <c r="Q35" s="540"/>
      <c r="R35" s="540"/>
      <c r="S35" s="540"/>
      <c r="T35" s="540"/>
      <c r="U35" s="540"/>
      <c r="V35" s="540"/>
      <c r="W35" s="540"/>
      <c r="X35" s="540"/>
      <c r="Y35" s="540"/>
      <c r="Z35" s="540"/>
      <c r="AA35" s="540"/>
      <c r="AB35" s="542">
        <f t="shared" ref="AB35:AJ35" si="38">AB$3*$L$3+AB$4*$L$4+AB$5*$L$5+AB$6*$L$6+AB$7*$L$7+AB$8*$L$8+AB$9*$L$9+AB$10*$L$10+AB$11*$L$11+AB$12*$L$12+AB$13*$L$13+AB$14*$L$14+AB$15*$L$15+AB$16*$L$16+AB$17*$L$17+AB$18*$L$18+AB$19*$L$19+AB$20*$L$20</f>
        <v>0</v>
      </c>
      <c r="AC35" s="542">
        <f t="shared" si="38"/>
        <v>0</v>
      </c>
      <c r="AD35" s="542">
        <f t="shared" si="38"/>
        <v>0</v>
      </c>
      <c r="AE35" s="542">
        <f t="shared" si="38"/>
        <v>0</v>
      </c>
      <c r="AF35" s="542">
        <f t="shared" si="38"/>
        <v>0</v>
      </c>
      <c r="AG35" s="542">
        <f t="shared" si="38"/>
        <v>0</v>
      </c>
      <c r="AH35" s="542">
        <f t="shared" si="38"/>
        <v>0</v>
      </c>
      <c r="AI35" s="542">
        <f t="shared" si="38"/>
        <v>0</v>
      </c>
      <c r="AJ35" s="542">
        <f t="shared" si="38"/>
        <v>0</v>
      </c>
      <c r="AK35" s="551"/>
    </row>
    <row r="36" spans="1:37" ht="15.75" customHeight="1" x14ac:dyDescent="0.2">
      <c r="A36" s="547"/>
      <c r="B36" s="1434"/>
      <c r="C36" s="1426" t="str">
        <f>M2&amp;", g/kg TM"</f>
        <v>NDF, g/kg TM</v>
      </c>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2">
        <f t="shared" ref="AB36:AJ36" si="39">AB$3*$M$3+AB$4*$M$4+AB$5*$M$5+AB$6*$M$6+AB$7*$M$7+AB$8*$M$8+AB$9*$M$9+AB$10*$M$10+AB$11*$M$11+AB$12*$M$12+AB$13*$M$13+AB$14*$M$14+AB$15*$M$15+AB$16*$M$16+AB$17*$M$17+AB$18*$M$18+AB$19*$M$19+AB$20*$M$20</f>
        <v>0</v>
      </c>
      <c r="AC36" s="542">
        <f t="shared" si="39"/>
        <v>0</v>
      </c>
      <c r="AD36" s="542">
        <f t="shared" si="39"/>
        <v>0</v>
      </c>
      <c r="AE36" s="542">
        <f t="shared" si="39"/>
        <v>0</v>
      </c>
      <c r="AF36" s="542">
        <f t="shared" si="39"/>
        <v>0</v>
      </c>
      <c r="AG36" s="542">
        <f t="shared" si="39"/>
        <v>0</v>
      </c>
      <c r="AH36" s="542">
        <f t="shared" si="39"/>
        <v>0</v>
      </c>
      <c r="AI36" s="542">
        <f t="shared" si="39"/>
        <v>0</v>
      </c>
      <c r="AJ36" s="542">
        <f t="shared" si="39"/>
        <v>0</v>
      </c>
      <c r="AK36" s="551"/>
    </row>
    <row r="37" spans="1:37" ht="15.75" customHeight="1" x14ac:dyDescent="0.2">
      <c r="A37" s="547"/>
      <c r="B37" s="1434"/>
      <c r="C37" s="1426" t="str">
        <f>N2&amp;", g/kg TM"</f>
        <v>NFC, g/kg TM</v>
      </c>
      <c r="D37" s="540"/>
      <c r="E37" s="540"/>
      <c r="F37" s="540"/>
      <c r="G37" s="540"/>
      <c r="H37" s="540"/>
      <c r="I37" s="540"/>
      <c r="J37" s="540"/>
      <c r="K37" s="540"/>
      <c r="L37" s="540"/>
      <c r="M37" s="540"/>
      <c r="N37" s="540"/>
      <c r="O37" s="540"/>
      <c r="P37" s="540"/>
      <c r="Q37" s="540"/>
      <c r="R37" s="540"/>
      <c r="S37" s="540"/>
      <c r="T37" s="540"/>
      <c r="U37" s="540"/>
      <c r="V37" s="540"/>
      <c r="W37" s="540"/>
      <c r="X37" s="540"/>
      <c r="Y37" s="540"/>
      <c r="Z37" s="540"/>
      <c r="AA37" s="540"/>
      <c r="AB37" s="542">
        <f>AB$3*$N$3+AB$4*$N$4+AB$5*$N$5+AB$6*$N$6+AB$7*$N$7+AB$8*$N$8+AB$9*$N$9+AB$10*$N$10+AB$11*$N$11+AB$12*$N$12+AB$13*$N$13+AB$14*$N$14+AB$15*$N$15+AB$16*$N$16+AB$17*$N$17+AB$18*$N$18+AB$19*$N$19+AB$20*$N$20</f>
        <v>0</v>
      </c>
      <c r="AC37" s="542">
        <f t="shared" ref="AC37:AJ37" si="40">AC$3*$N$3+AC$4*$N$4+AC$5*$N$5+AC$6*$N$6+AC$7*$N$7+AC$8*$N$8+AC$9*$N$9+AC$10*$N$10+AC$11*$N$11+AC$12*$N$12+AC$13*$N$13+AC$14*$N$14+AC$15*$N$15+AC$16*$N$16+AC$17*$N$17+AC$18*$N$18+AC$19*$N$19+AC$20*$N$20</f>
        <v>0</v>
      </c>
      <c r="AD37" s="542">
        <f t="shared" si="40"/>
        <v>0</v>
      </c>
      <c r="AE37" s="542">
        <f t="shared" si="40"/>
        <v>0</v>
      </c>
      <c r="AF37" s="542">
        <f t="shared" si="40"/>
        <v>0</v>
      </c>
      <c r="AG37" s="542">
        <f t="shared" si="40"/>
        <v>0</v>
      </c>
      <c r="AH37" s="542">
        <f t="shared" si="40"/>
        <v>0</v>
      </c>
      <c r="AI37" s="542">
        <f t="shared" si="40"/>
        <v>0</v>
      </c>
      <c r="AJ37" s="542">
        <f t="shared" si="40"/>
        <v>0</v>
      </c>
      <c r="AK37" s="551"/>
    </row>
    <row r="38" spans="1:37" ht="15.75" customHeight="1" x14ac:dyDescent="0.2">
      <c r="A38" s="547"/>
      <c r="B38" s="1434"/>
      <c r="C38" s="1426" t="str">
        <f>O2&amp;", g/kg TM"</f>
        <v>XS, g/kg TM</v>
      </c>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2">
        <f>AB$3*$O$3+AB$4*$O$4+AB$5*$O$5+AB$6*$O$6+AB$7*$O$7+AB$8*$O$8+AB$9*$O$9+AB$10*$O$10+AB$11*$O$11+AB$12*$O$12+AB$13*$O$13+AB$14*$O$14+AB$15*$O$15+AB$16*$O$16+AB$17*$O$17+AB$18*$O$18+AB$19*$O$19+AB$20*$O$20</f>
        <v>0</v>
      </c>
      <c r="AC38" s="542">
        <f t="shared" ref="AC38:AJ38" si="41">AC$3*$O$3+AC$4*$O$4+AC$5*$O$5+AC$6*$O$6+AC$7*$O$7+AC$8*$O$8+AC$9*$O$9+AC$10*$O$10+AC$11*$O$11+AC$12*$O$12+AC$13*$O$13+AC$14*$O$14+AC$15*$O$15+AC$16*$O$16+AC$17*$O$17+AC$18*$O$18+AC$19*$O$19+AC$20*$O$20</f>
        <v>0</v>
      </c>
      <c r="AD38" s="542">
        <f t="shared" si="41"/>
        <v>0</v>
      </c>
      <c r="AE38" s="542">
        <f t="shared" si="41"/>
        <v>0</v>
      </c>
      <c r="AF38" s="542">
        <f t="shared" si="41"/>
        <v>0</v>
      </c>
      <c r="AG38" s="542">
        <f t="shared" si="41"/>
        <v>0</v>
      </c>
      <c r="AH38" s="542">
        <f t="shared" si="41"/>
        <v>0</v>
      </c>
      <c r="AI38" s="542">
        <f t="shared" si="41"/>
        <v>0</v>
      </c>
      <c r="AJ38" s="542">
        <f t="shared" si="41"/>
        <v>0</v>
      </c>
      <c r="AK38" s="551"/>
    </row>
    <row r="39" spans="1:37" ht="15.75" customHeight="1" x14ac:dyDescent="0.2">
      <c r="A39" s="547"/>
      <c r="B39" s="1434"/>
      <c r="C39" s="1426" t="str">
        <f>P2&amp;", g/kg TM"</f>
        <v>XZ, g/kg TM</v>
      </c>
      <c r="D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2">
        <f t="shared" ref="AB39:AJ39" si="42">AB$3*$P$3+AB$4*$P$4+AB$5*$P$5+AB$6*$P$6+AB$7*$P$7+AB$8*$P$8+AB$9*$P$9+AB$10*$P$10+AB$11*$P$11+AB$12*$P$12+AB$13*$P$13+AB$14*$P$14+AB$15*$P$15+AB$16*$P$16+AB$17*$P$17+AB$18*$P$18+AB$19*$P$19+AB$20*$P$20</f>
        <v>0</v>
      </c>
      <c r="AC39" s="542">
        <f t="shared" si="42"/>
        <v>0</v>
      </c>
      <c r="AD39" s="542">
        <f t="shared" si="42"/>
        <v>0</v>
      </c>
      <c r="AE39" s="542">
        <f t="shared" si="42"/>
        <v>0</v>
      </c>
      <c r="AF39" s="542">
        <f t="shared" si="42"/>
        <v>0</v>
      </c>
      <c r="AG39" s="542">
        <f t="shared" si="42"/>
        <v>0</v>
      </c>
      <c r="AH39" s="542">
        <f t="shared" si="42"/>
        <v>0</v>
      </c>
      <c r="AI39" s="542">
        <f t="shared" si="42"/>
        <v>0</v>
      </c>
      <c r="AJ39" s="542">
        <f t="shared" si="42"/>
        <v>0</v>
      </c>
      <c r="AK39" s="551"/>
    </row>
    <row r="40" spans="1:37" ht="15.75" customHeight="1" x14ac:dyDescent="0.2">
      <c r="A40" s="547"/>
      <c r="B40" s="1434"/>
      <c r="C40" s="1426" t="str">
        <f>Q2&amp;", g/kg TM"</f>
        <v>XL, g/kg TM</v>
      </c>
      <c r="D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2">
        <f t="shared" ref="AB40:AJ40" si="43">AB$3*$Q$3+AB$4*$Q$4+AB$5*$Q$5+AB$6*$Q$6+AB$7*$Q$7+AB$8*$Q$8+AB$9*$Q$9+AB$10*$Q$10+AB$11*$Q$11+AB$12*$Q$12+AB$13*$Q$13+AB$14*$Q$14+AB$15*$Q$15+AB$16*$Q$16+AB$17*$Q$17+AB$18*$Q$18+AB$19*$Q$19+AB$20*$Q$20</f>
        <v>0</v>
      </c>
      <c r="AC40" s="542">
        <f t="shared" si="43"/>
        <v>0</v>
      </c>
      <c r="AD40" s="542">
        <f t="shared" si="43"/>
        <v>0</v>
      </c>
      <c r="AE40" s="542">
        <f t="shared" si="43"/>
        <v>0</v>
      </c>
      <c r="AF40" s="542">
        <f t="shared" si="43"/>
        <v>0</v>
      </c>
      <c r="AG40" s="542">
        <f t="shared" si="43"/>
        <v>0</v>
      </c>
      <c r="AH40" s="542">
        <f t="shared" si="43"/>
        <v>0</v>
      </c>
      <c r="AI40" s="542">
        <f t="shared" si="43"/>
        <v>0</v>
      </c>
      <c r="AJ40" s="542">
        <f t="shared" si="43"/>
        <v>0</v>
      </c>
      <c r="AK40" s="551"/>
    </row>
    <row r="41" spans="1:37" ht="15.75" customHeight="1" x14ac:dyDescent="0.2">
      <c r="A41" s="547"/>
      <c r="B41" s="1434"/>
      <c r="C41" s="1426" t="str">
        <f>R2&amp;", g/kg TM"</f>
        <v>XF, g/kg TM</v>
      </c>
      <c r="D41" s="540"/>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2">
        <f t="shared" ref="AB41:AJ41" si="44">AB$3*$R$3+AB$4*$R$4+AB$5*$R$5+AB$6*$R$6+AB$7*$R$7+AB$8*$R$8+AB$9*$R$9+AB$10*$R$10+AB$11*$R$11+AB$12*$R$12+AB$13*$R$13+AB$14*$R$14+AB$15*$R$15+AB$16*$R$16+AB$17*$R$17+AB$18*$R$18+AB$19*$R$19+AB$20*$R$20</f>
        <v>0</v>
      </c>
      <c r="AC41" s="542">
        <f t="shared" si="44"/>
        <v>0</v>
      </c>
      <c r="AD41" s="542">
        <f t="shared" si="44"/>
        <v>0</v>
      </c>
      <c r="AE41" s="542">
        <f t="shared" si="44"/>
        <v>0</v>
      </c>
      <c r="AF41" s="542">
        <f t="shared" si="44"/>
        <v>0</v>
      </c>
      <c r="AG41" s="542">
        <f t="shared" si="44"/>
        <v>0</v>
      </c>
      <c r="AH41" s="542">
        <f t="shared" si="44"/>
        <v>0</v>
      </c>
      <c r="AI41" s="542">
        <f t="shared" si="44"/>
        <v>0</v>
      </c>
      <c r="AJ41" s="542">
        <f t="shared" si="44"/>
        <v>0</v>
      </c>
      <c r="AK41" s="551"/>
    </row>
    <row r="42" spans="1:37" ht="15.75" customHeight="1" x14ac:dyDescent="0.2">
      <c r="A42" s="547"/>
      <c r="B42" s="1434"/>
      <c r="C42" s="1426" t="str">
        <f>S2</f>
        <v>sXF</v>
      </c>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3">
        <f t="shared" ref="AB42:AJ42" si="45">AB$3*$S$3+AB$4*$S$4+AB$5*$S$5+AB$6*$S$6+AB$7*$S$7+AB$8*$S$8+AB$9*$S$9+AB$10*$S$10+AB$11*$S$11+AB$12*$S$12+AB$13*$S$13+AB$14*$S$14+AB$15*$S$15+AB$16*$S$16+AB$17*$S$17+AB$18*$S$18+AB$19*$S$19+AB$20*$S$20</f>
        <v>0</v>
      </c>
      <c r="AC42" s="543">
        <f t="shared" si="45"/>
        <v>0</v>
      </c>
      <c r="AD42" s="543">
        <f t="shared" si="45"/>
        <v>0</v>
      </c>
      <c r="AE42" s="543">
        <f t="shared" si="45"/>
        <v>0</v>
      </c>
      <c r="AF42" s="543">
        <f t="shared" si="45"/>
        <v>0</v>
      </c>
      <c r="AG42" s="543">
        <f t="shared" si="45"/>
        <v>0</v>
      </c>
      <c r="AH42" s="543">
        <f t="shared" si="45"/>
        <v>0</v>
      </c>
      <c r="AI42" s="543">
        <f t="shared" si="45"/>
        <v>0</v>
      </c>
      <c r="AJ42" s="543">
        <f t="shared" si="45"/>
        <v>0</v>
      </c>
      <c r="AK42" s="551"/>
    </row>
    <row r="43" spans="1:37" ht="15.75" customHeight="1" x14ac:dyDescent="0.2">
      <c r="A43" s="547"/>
      <c r="B43" s="1434"/>
      <c r="C43" s="1426" t="str">
        <f>T2&amp;", g/kg TM"</f>
        <v>XA, g/kg TM</v>
      </c>
      <c r="D43" s="540"/>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2">
        <f t="shared" ref="AB43:AJ43" si="46">AB$3*$T$3+AB$4*$T$4+AB$5*$T$5+AB$6*$T$6+AB$7*$T$7+AB$8*$T$8+AB$9*$T$9+AB$10*$T$10+AB$11*$T$11+AB$12*$T$12+AB$13*$T$13+AB$14*$T$14+AB$15*$T$15+AB$16*$T$16+AB$17*$T$17+AB$18*$T$18+AB$19*$T$19+AB$20*$T$20</f>
        <v>0</v>
      </c>
      <c r="AC43" s="542">
        <f t="shared" si="46"/>
        <v>0</v>
      </c>
      <c r="AD43" s="542">
        <f t="shared" si="46"/>
        <v>0</v>
      </c>
      <c r="AE43" s="542">
        <f t="shared" si="46"/>
        <v>0</v>
      </c>
      <c r="AF43" s="542">
        <f t="shared" si="46"/>
        <v>0</v>
      </c>
      <c r="AG43" s="542">
        <f t="shared" si="46"/>
        <v>0</v>
      </c>
      <c r="AH43" s="542">
        <f t="shared" si="46"/>
        <v>0</v>
      </c>
      <c r="AI43" s="542">
        <f t="shared" si="46"/>
        <v>0</v>
      </c>
      <c r="AJ43" s="542">
        <f t="shared" si="46"/>
        <v>0</v>
      </c>
      <c r="AK43" s="551"/>
    </row>
    <row r="44" spans="1:37" ht="15.75" customHeight="1" x14ac:dyDescent="0.2">
      <c r="A44" s="547"/>
      <c r="B44" s="1434"/>
      <c r="C44" s="1426" t="str">
        <f>U2&amp;", g/kg TM"</f>
        <v>Ca, g/kg TM</v>
      </c>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1">
        <f t="shared" ref="AB44:AJ44" si="47">AB$3*$U$3+AB$4*$U$4+AB$5*$U$5+AB$6*$U$6+AB$7*$U$7+AB$8*$U$8+AB$9*$U$9+AB$10*$U$10+AB$11*$U$11+AB$12*$U$12+AB$13*$U$13+AB$14*$U$14+AB$15*$U$15+AB$16*$U$16+AB$17*$U$17+AB$18*$U$18+AB$19*$U$19+AB$20*$U$20</f>
        <v>0</v>
      </c>
      <c r="AC44" s="541">
        <f t="shared" si="47"/>
        <v>0</v>
      </c>
      <c r="AD44" s="541">
        <f t="shared" si="47"/>
        <v>0</v>
      </c>
      <c r="AE44" s="541">
        <f t="shared" si="47"/>
        <v>0</v>
      </c>
      <c r="AF44" s="541">
        <f t="shared" si="47"/>
        <v>0</v>
      </c>
      <c r="AG44" s="541">
        <f t="shared" si="47"/>
        <v>0</v>
      </c>
      <c r="AH44" s="541">
        <f t="shared" si="47"/>
        <v>0</v>
      </c>
      <c r="AI44" s="541">
        <f t="shared" si="47"/>
        <v>0</v>
      </c>
      <c r="AJ44" s="541">
        <f t="shared" si="47"/>
        <v>0</v>
      </c>
      <c r="AK44" s="551"/>
    </row>
    <row r="45" spans="1:37" ht="15.75" customHeight="1" x14ac:dyDescent="0.2">
      <c r="A45" s="547"/>
      <c r="B45" s="1434"/>
      <c r="C45" s="1426" t="str">
        <f>V2&amp;", g/kg TM"</f>
        <v>P, g/kg TM</v>
      </c>
      <c r="D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1">
        <f t="shared" ref="AB45:AJ45" si="48">AB$3*$V$3+AB$4*$V$4+AB$5*$V$5+AB$6*$V$6+AB$7*$V$7+AB$8*$V$8+AB$9*$V$9+AB$10*$V$10+AB$11*$V$11+AB$12*$V$12+AB$13*$V$13+AB$14*$V$14+AB$15*$V$15+AB$16*$V$16+AB$17*$V$17+AB$18*$V$18+AB$19*$V$19+AB$20*$V$20</f>
        <v>0</v>
      </c>
      <c r="AC45" s="541">
        <f t="shared" si="48"/>
        <v>0</v>
      </c>
      <c r="AD45" s="541">
        <f t="shared" si="48"/>
        <v>0</v>
      </c>
      <c r="AE45" s="541">
        <f t="shared" si="48"/>
        <v>0</v>
      </c>
      <c r="AF45" s="541">
        <f t="shared" si="48"/>
        <v>0</v>
      </c>
      <c r="AG45" s="541">
        <f t="shared" si="48"/>
        <v>0</v>
      </c>
      <c r="AH45" s="541">
        <f t="shared" si="48"/>
        <v>0</v>
      </c>
      <c r="AI45" s="541">
        <f t="shared" si="48"/>
        <v>0</v>
      </c>
      <c r="AJ45" s="541">
        <f t="shared" si="48"/>
        <v>0</v>
      </c>
      <c r="AK45" s="551"/>
    </row>
    <row r="46" spans="1:37" ht="15.75" customHeight="1" x14ac:dyDescent="0.2">
      <c r="A46" s="547"/>
      <c r="B46" s="1434"/>
      <c r="C46" s="1426" t="str">
        <f>W2&amp;", g/kg TM"</f>
        <v>Na, g/kg TM</v>
      </c>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1">
        <f t="shared" ref="AB46:AJ46" si="49">AB$3*$W$3+AB$4*$W$4+AB$5*$W$5+AB$6*$W$6+AB$7*$W$7+AB$8*$W$8+AB$9*$W$9+AB$10*$W$10+AB$11*$W$11+AB$12*$W$12+AB$13*$W$13+AB$14*$W$14+AB$15*$W$15+AB$16*$W$16+AB$17*$W$17+AB$18*$W$18+AB$19*$W$19+AB$20*$W$20</f>
        <v>0</v>
      </c>
      <c r="AC46" s="541">
        <f t="shared" si="49"/>
        <v>0</v>
      </c>
      <c r="AD46" s="541">
        <f t="shared" si="49"/>
        <v>0</v>
      </c>
      <c r="AE46" s="541">
        <f t="shared" si="49"/>
        <v>0</v>
      </c>
      <c r="AF46" s="541">
        <f t="shared" si="49"/>
        <v>0</v>
      </c>
      <c r="AG46" s="541">
        <f t="shared" si="49"/>
        <v>0</v>
      </c>
      <c r="AH46" s="541">
        <f t="shared" si="49"/>
        <v>0</v>
      </c>
      <c r="AI46" s="541">
        <f t="shared" si="49"/>
        <v>0</v>
      </c>
      <c r="AJ46" s="541">
        <f t="shared" si="49"/>
        <v>0</v>
      </c>
      <c r="AK46" s="551"/>
    </row>
    <row r="47" spans="1:37" ht="15.75" customHeight="1" x14ac:dyDescent="0.2">
      <c r="A47" s="547"/>
      <c r="B47" s="1434"/>
      <c r="C47" s="1426" t="str">
        <f>X2&amp;", g/kg TM"</f>
        <v>Mg, g/kg TM</v>
      </c>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1">
        <f t="shared" ref="AB47:AJ47" si="50">AB$3*$X$3+AB$4*$X$4+AB$5*$X$5+AB$6*$X$6+AB$7*$X$7+AB$8*$X$8+AB$9*$X$9+AB$10*$X$10+AB$11*$X$11+AB$12*$X$12+AB$13*$X$13+AB$14*$X$14+AB$15*$X$15+AB$16*$X$16+AB$17*$X$17+AB$18*$X$18+AB$19*$X$19+AB$20*$X$20</f>
        <v>0</v>
      </c>
      <c r="AC47" s="541">
        <f t="shared" si="50"/>
        <v>0</v>
      </c>
      <c r="AD47" s="541">
        <f t="shared" si="50"/>
        <v>0</v>
      </c>
      <c r="AE47" s="541">
        <f t="shared" si="50"/>
        <v>0</v>
      </c>
      <c r="AF47" s="541">
        <f t="shared" si="50"/>
        <v>0</v>
      </c>
      <c r="AG47" s="541">
        <f t="shared" si="50"/>
        <v>0</v>
      </c>
      <c r="AH47" s="541">
        <f t="shared" si="50"/>
        <v>0</v>
      </c>
      <c r="AI47" s="541">
        <f t="shared" si="50"/>
        <v>0</v>
      </c>
      <c r="AJ47" s="541">
        <f t="shared" si="50"/>
        <v>0</v>
      </c>
      <c r="AK47" s="551"/>
    </row>
    <row r="48" spans="1:37" ht="15.75" customHeight="1" x14ac:dyDescent="0.2">
      <c r="A48" s="547"/>
      <c r="B48" s="1434"/>
      <c r="C48" s="1426" t="str">
        <f>Y2&amp;", g/kg TM"</f>
        <v>K, g/kg TM</v>
      </c>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1">
        <f>AB$3*$Y$3+AB$4*$Y$4+AB$5*$Y$5+AB$6*$Y$6+AB$7*$Y$7+AB$8*$Y$8+AB$9*$Y$9+AB$10*$Y$10+AB$11*$Y$11+AB$12*$Y$12+AB$13*$Y$13+AB$14*$Y$14+AB$15*$Y$15+AB$16*$Y$16+AB$17*$Y$17+AB$18*$Y$18+AB$19*$Y$19+AB$20*$Y$20</f>
        <v>0</v>
      </c>
      <c r="AC48" s="541">
        <f>AC$3*$Y$3+AC$4*$Y$4+AC$5*$Y$5+AC$6*$Y$6+AC$7*$Y$7+AC$8*$Y$8+AC$9*$Y$9+AC$10*$Y$10+AC$11*$Y$11+AC$12*$Y$12+AC$13*$Y$13+AC$14*$Y$14+AC$15*$Y$15+AC$16*$Y$16+AC$17*$Y$17+AC$18*$Y$18+AC$19*$Y$19+AC$20*$Y$20</f>
        <v>0</v>
      </c>
      <c r="AD48" s="541">
        <f t="shared" ref="AD48:AJ48" si="51">AD$3*$Y$3+AD$4*$Y$4+AD$5*$Y$5+AD$6*$Y$6+AD$7*$Y$7+AD$8*$Y$8+AD$9*$Y$9+AD$10*$Y$10+AD$11*$Y$11+AD$12*$Y$12+AD$13*$Y$13+AD$14*$Y$14+AD$15*$Y$15+AD$16*$Y$16+AD$17*$Y$17+AD$18*$Y$18+AD$19*$Y$19+AD$20*$Y$20</f>
        <v>0</v>
      </c>
      <c r="AE48" s="541">
        <f t="shared" si="51"/>
        <v>0</v>
      </c>
      <c r="AF48" s="541">
        <f t="shared" si="51"/>
        <v>0</v>
      </c>
      <c r="AG48" s="541">
        <f t="shared" si="51"/>
        <v>0</v>
      </c>
      <c r="AH48" s="541">
        <f t="shared" si="51"/>
        <v>0</v>
      </c>
      <c r="AI48" s="541">
        <f t="shared" si="51"/>
        <v>0</v>
      </c>
      <c r="AJ48" s="541">
        <f t="shared" si="51"/>
        <v>0</v>
      </c>
      <c r="AK48" s="551"/>
    </row>
    <row r="49" spans="1:37" x14ac:dyDescent="0.2">
      <c r="A49" s="547"/>
      <c r="B49" s="1435"/>
      <c r="C49" s="1427" t="str">
        <f>Z2&amp;", mg/kg TM"</f>
        <v>Se, mg/kg TM</v>
      </c>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5">
        <f t="shared" ref="AB49:AJ49" si="52">AB$3*$Z$3+AB$4*$Z$4+AB$5*$Z$5+AB$6*$Z$6+AB$7*$Z$7+AB$8*$Z$8+AB$9*$Z$9+AB$10*$Z$10+AB$11*$Z$11+AB$12*$Z$12+AB$13*$Z$13+AB$14*$Z$14+AB$15*$Z$15+AB$16*$Z$16+AB$17*$Z$17+AB$18*$Z$18+AB$19*$Z$19+AB$20*$Z$20</f>
        <v>0</v>
      </c>
      <c r="AC49" s="545">
        <f t="shared" si="52"/>
        <v>0</v>
      </c>
      <c r="AD49" s="545">
        <f t="shared" si="52"/>
        <v>0</v>
      </c>
      <c r="AE49" s="545">
        <f t="shared" si="52"/>
        <v>0</v>
      </c>
      <c r="AF49" s="545">
        <f t="shared" si="52"/>
        <v>0</v>
      </c>
      <c r="AG49" s="545">
        <f t="shared" si="52"/>
        <v>0</v>
      </c>
      <c r="AH49" s="545">
        <f t="shared" si="52"/>
        <v>0</v>
      </c>
      <c r="AI49" s="545">
        <f t="shared" si="52"/>
        <v>0</v>
      </c>
      <c r="AJ49" s="545">
        <f t="shared" si="52"/>
        <v>0</v>
      </c>
      <c r="AK49" s="551"/>
    </row>
    <row r="50" spans="1:37" ht="4.5" customHeight="1" x14ac:dyDescent="0.2">
      <c r="A50" s="547"/>
      <c r="B50" s="1432"/>
      <c r="C50" s="508"/>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2"/>
      <c r="AE50" s="552"/>
      <c r="AF50" s="552"/>
      <c r="AG50" s="552"/>
      <c r="AH50" s="552"/>
      <c r="AI50" s="552"/>
      <c r="AJ50" s="552"/>
      <c r="AK50" s="551"/>
    </row>
    <row r="51" spans="1:37" ht="13.5" thickBot="1" x14ac:dyDescent="0.25">
      <c r="A51" s="660" t="str">
        <f>'Ration Milch-Mineralstoffe'!A42:AC42</f>
        <v>Uni Rat 2016, © W. Sekul, LAZBW Aulendorf             Die Daten sind auf Plausibilität zu prüfen, um Eingabe- und Berechnungsfehler auszuschließen. Es wird keine Gewähr zur Richtigkeit der Daten übernommen.</v>
      </c>
      <c r="B51" s="1436"/>
      <c r="C51" s="661"/>
      <c r="D51" s="661"/>
      <c r="E51" s="661"/>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1"/>
      <c r="AH51" s="672"/>
      <c r="AI51" s="673"/>
      <c r="AJ51" s="661"/>
      <c r="AK51" s="662"/>
    </row>
    <row r="52" spans="1:37" ht="4.5" customHeight="1" thickTop="1" x14ac:dyDescent="0.2"/>
  </sheetData>
  <sheetProtection password="ECA3" sheet="1" objects="1" scenarios="1"/>
  <customSheetViews>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1"/>
      <headerFooter alignWithMargins="0">
        <oddFooter>&amp;L&amp;F&amp;A&amp;R&amp;D  &amp;T</oddFooter>
      </headerFooter>
    </customSheetView>
  </customSheetViews>
  <mergeCells count="1">
    <mergeCell ref="B2:C2"/>
  </mergeCells>
  <phoneticPr fontId="8" type="noConversion"/>
  <conditionalFormatting sqref="AB21:AJ21">
    <cfRule type="cellIs" dxfId="37" priority="1" stopIfTrue="1" operator="equal">
      <formula>1</formula>
    </cfRule>
    <cfRule type="cellIs" dxfId="36"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60" orientation="landscape" horizontalDpi="1200" r:id="rId2"/>
  <headerFooter alignWithMargins="0">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6145" r:id="rId5" name="Drop Down 1">
              <controlPr locked="0" defaultSize="0" print="0" autoFill="0" autoLine="0" autoPict="0">
                <anchor moveWithCells="1">
                  <from>
                    <xdr:col>1</xdr:col>
                    <xdr:colOff>0</xdr:colOff>
                    <xdr:row>2</xdr:row>
                    <xdr:rowOff>9525</xdr:rowOff>
                  </from>
                  <to>
                    <xdr:col>27</xdr:col>
                    <xdr:colOff>9525</xdr:colOff>
                    <xdr:row>3</xdr:row>
                    <xdr:rowOff>19050</xdr:rowOff>
                  </to>
                </anchor>
              </controlPr>
            </control>
          </mc:Choice>
        </mc:AlternateContent>
        <mc:AlternateContent xmlns:mc="http://schemas.openxmlformats.org/markup-compatibility/2006">
          <mc:Choice Requires="x14">
            <control shapeId="6146" r:id="rId6" name="Drop Down 2">
              <controlPr locked="0" defaultSize="0" print="0" autoFill="0" autoLine="0" autoPict="0">
                <anchor moveWithCells="1">
                  <from>
                    <xdr:col>1</xdr:col>
                    <xdr:colOff>0</xdr:colOff>
                    <xdr:row>3</xdr:row>
                    <xdr:rowOff>28575</xdr:rowOff>
                  </from>
                  <to>
                    <xdr:col>27</xdr:col>
                    <xdr:colOff>9525</xdr:colOff>
                    <xdr:row>4</xdr:row>
                    <xdr:rowOff>19050</xdr:rowOff>
                  </to>
                </anchor>
              </controlPr>
            </control>
          </mc:Choice>
        </mc:AlternateContent>
        <mc:AlternateContent xmlns:mc="http://schemas.openxmlformats.org/markup-compatibility/2006">
          <mc:Choice Requires="x14">
            <control shapeId="6148" r:id="rId7" name="Drop Down 4">
              <controlPr locked="0" defaultSize="0" print="0" autoFill="0" autoLine="0" autoPict="0">
                <anchor moveWithCells="1">
                  <from>
                    <xdr:col>1</xdr:col>
                    <xdr:colOff>0</xdr:colOff>
                    <xdr:row>5</xdr:row>
                    <xdr:rowOff>28575</xdr:rowOff>
                  </from>
                  <to>
                    <xdr:col>27</xdr:col>
                    <xdr:colOff>9525</xdr:colOff>
                    <xdr:row>6</xdr:row>
                    <xdr:rowOff>19050</xdr:rowOff>
                  </to>
                </anchor>
              </controlPr>
            </control>
          </mc:Choice>
        </mc:AlternateContent>
        <mc:AlternateContent xmlns:mc="http://schemas.openxmlformats.org/markup-compatibility/2006">
          <mc:Choice Requires="x14">
            <control shapeId="6149" r:id="rId8" name="Drop Down 5">
              <controlPr locked="0" defaultSize="0" print="0" autoFill="0" autoLine="0" autoPict="0">
                <anchor moveWithCells="1">
                  <from>
                    <xdr:col>1</xdr:col>
                    <xdr:colOff>0</xdr:colOff>
                    <xdr:row>6</xdr:row>
                    <xdr:rowOff>28575</xdr:rowOff>
                  </from>
                  <to>
                    <xdr:col>27</xdr:col>
                    <xdr:colOff>9525</xdr:colOff>
                    <xdr:row>7</xdr:row>
                    <xdr:rowOff>19050</xdr:rowOff>
                  </to>
                </anchor>
              </controlPr>
            </control>
          </mc:Choice>
        </mc:AlternateContent>
        <mc:AlternateContent xmlns:mc="http://schemas.openxmlformats.org/markup-compatibility/2006">
          <mc:Choice Requires="x14">
            <control shapeId="6150" r:id="rId9" name="Drop Down 6">
              <controlPr locked="0" defaultSize="0" print="0" autoFill="0" autoLine="0" autoPict="0">
                <anchor moveWithCells="1">
                  <from>
                    <xdr:col>1</xdr:col>
                    <xdr:colOff>0</xdr:colOff>
                    <xdr:row>7</xdr:row>
                    <xdr:rowOff>28575</xdr:rowOff>
                  </from>
                  <to>
                    <xdr:col>27</xdr:col>
                    <xdr:colOff>9525</xdr:colOff>
                    <xdr:row>8</xdr:row>
                    <xdr:rowOff>19050</xdr:rowOff>
                  </to>
                </anchor>
              </controlPr>
            </control>
          </mc:Choice>
        </mc:AlternateContent>
        <mc:AlternateContent xmlns:mc="http://schemas.openxmlformats.org/markup-compatibility/2006">
          <mc:Choice Requires="x14">
            <control shapeId="6151" r:id="rId10" name="Drop Down 7">
              <controlPr locked="0" defaultSize="0" print="0" autoFill="0" autoLine="0" autoPict="0">
                <anchor moveWithCells="1">
                  <from>
                    <xdr:col>1</xdr:col>
                    <xdr:colOff>0</xdr:colOff>
                    <xdr:row>8</xdr:row>
                    <xdr:rowOff>28575</xdr:rowOff>
                  </from>
                  <to>
                    <xdr:col>27</xdr:col>
                    <xdr:colOff>9525</xdr:colOff>
                    <xdr:row>9</xdr:row>
                    <xdr:rowOff>19050</xdr:rowOff>
                  </to>
                </anchor>
              </controlPr>
            </control>
          </mc:Choice>
        </mc:AlternateContent>
        <mc:AlternateContent xmlns:mc="http://schemas.openxmlformats.org/markup-compatibility/2006">
          <mc:Choice Requires="x14">
            <control shapeId="6152" r:id="rId11" name="Drop Down 8">
              <controlPr locked="0" defaultSize="0" print="0" autoFill="0" autoLine="0" autoPict="0">
                <anchor moveWithCells="1">
                  <from>
                    <xdr:col>1</xdr:col>
                    <xdr:colOff>0</xdr:colOff>
                    <xdr:row>9</xdr:row>
                    <xdr:rowOff>28575</xdr:rowOff>
                  </from>
                  <to>
                    <xdr:col>27</xdr:col>
                    <xdr:colOff>9525</xdr:colOff>
                    <xdr:row>10</xdr:row>
                    <xdr:rowOff>19050</xdr:rowOff>
                  </to>
                </anchor>
              </controlPr>
            </control>
          </mc:Choice>
        </mc:AlternateContent>
        <mc:AlternateContent xmlns:mc="http://schemas.openxmlformats.org/markup-compatibility/2006">
          <mc:Choice Requires="x14">
            <control shapeId="6153" r:id="rId12" name="Drop Down 9">
              <controlPr locked="0" defaultSize="0" print="0" autoFill="0" autoLine="0" autoPict="0">
                <anchor moveWithCells="1">
                  <from>
                    <xdr:col>1</xdr:col>
                    <xdr:colOff>0</xdr:colOff>
                    <xdr:row>10</xdr:row>
                    <xdr:rowOff>28575</xdr:rowOff>
                  </from>
                  <to>
                    <xdr:col>27</xdr:col>
                    <xdr:colOff>9525</xdr:colOff>
                    <xdr:row>11</xdr:row>
                    <xdr:rowOff>19050</xdr:rowOff>
                  </to>
                </anchor>
              </controlPr>
            </control>
          </mc:Choice>
        </mc:AlternateContent>
        <mc:AlternateContent xmlns:mc="http://schemas.openxmlformats.org/markup-compatibility/2006">
          <mc:Choice Requires="x14">
            <control shapeId="6154" r:id="rId13" name="Drop Down 10">
              <controlPr locked="0" defaultSize="0" print="0" autoFill="0" autoLine="0" autoPict="0">
                <anchor moveWithCells="1">
                  <from>
                    <xdr:col>1</xdr:col>
                    <xdr:colOff>0</xdr:colOff>
                    <xdr:row>11</xdr:row>
                    <xdr:rowOff>28575</xdr:rowOff>
                  </from>
                  <to>
                    <xdr:col>27</xdr:col>
                    <xdr:colOff>9525</xdr:colOff>
                    <xdr:row>12</xdr:row>
                    <xdr:rowOff>19050</xdr:rowOff>
                  </to>
                </anchor>
              </controlPr>
            </control>
          </mc:Choice>
        </mc:AlternateContent>
        <mc:AlternateContent xmlns:mc="http://schemas.openxmlformats.org/markup-compatibility/2006">
          <mc:Choice Requires="x14">
            <control shapeId="6155" r:id="rId14" name="Drop Down 11">
              <controlPr locked="0" defaultSize="0" print="0" autoFill="0" autoLine="0" autoPict="0">
                <anchor moveWithCells="1">
                  <from>
                    <xdr:col>1</xdr:col>
                    <xdr:colOff>0</xdr:colOff>
                    <xdr:row>12</xdr:row>
                    <xdr:rowOff>28575</xdr:rowOff>
                  </from>
                  <to>
                    <xdr:col>27</xdr:col>
                    <xdr:colOff>9525</xdr:colOff>
                    <xdr:row>13</xdr:row>
                    <xdr:rowOff>19050</xdr:rowOff>
                  </to>
                </anchor>
              </controlPr>
            </control>
          </mc:Choice>
        </mc:AlternateContent>
        <mc:AlternateContent xmlns:mc="http://schemas.openxmlformats.org/markup-compatibility/2006">
          <mc:Choice Requires="x14">
            <control shapeId="6156" r:id="rId15" name="Drop Down 12">
              <controlPr locked="0" defaultSize="0" print="0" autoFill="0" autoLine="0" autoPict="0">
                <anchor moveWithCells="1">
                  <from>
                    <xdr:col>1</xdr:col>
                    <xdr:colOff>0</xdr:colOff>
                    <xdr:row>13</xdr:row>
                    <xdr:rowOff>28575</xdr:rowOff>
                  </from>
                  <to>
                    <xdr:col>27</xdr:col>
                    <xdr:colOff>9525</xdr:colOff>
                    <xdr:row>14</xdr:row>
                    <xdr:rowOff>19050</xdr:rowOff>
                  </to>
                </anchor>
              </controlPr>
            </control>
          </mc:Choice>
        </mc:AlternateContent>
        <mc:AlternateContent xmlns:mc="http://schemas.openxmlformats.org/markup-compatibility/2006">
          <mc:Choice Requires="x14">
            <control shapeId="6158" r:id="rId16" name="Drop Down 14">
              <controlPr locked="0" defaultSize="0" print="0" autoFill="0" autoLine="0" autoPict="0">
                <anchor moveWithCells="1">
                  <from>
                    <xdr:col>1</xdr:col>
                    <xdr:colOff>0</xdr:colOff>
                    <xdr:row>14</xdr:row>
                    <xdr:rowOff>38100</xdr:rowOff>
                  </from>
                  <to>
                    <xdr:col>27</xdr:col>
                    <xdr:colOff>9525</xdr:colOff>
                    <xdr:row>15</xdr:row>
                    <xdr:rowOff>28575</xdr:rowOff>
                  </to>
                </anchor>
              </controlPr>
            </control>
          </mc:Choice>
        </mc:AlternateContent>
        <mc:AlternateContent xmlns:mc="http://schemas.openxmlformats.org/markup-compatibility/2006">
          <mc:Choice Requires="x14">
            <control shapeId="6160" r:id="rId17" name="Drop Down 16">
              <controlPr locked="0" defaultSize="0" print="0" autoFill="0" autoLine="0" autoPict="0">
                <anchor moveWithCells="1">
                  <from>
                    <xdr:col>1</xdr:col>
                    <xdr:colOff>0</xdr:colOff>
                    <xdr:row>15</xdr:row>
                    <xdr:rowOff>38100</xdr:rowOff>
                  </from>
                  <to>
                    <xdr:col>27</xdr:col>
                    <xdr:colOff>9525</xdr:colOff>
                    <xdr:row>16</xdr:row>
                    <xdr:rowOff>28575</xdr:rowOff>
                  </to>
                </anchor>
              </controlPr>
            </control>
          </mc:Choice>
        </mc:AlternateContent>
        <mc:AlternateContent xmlns:mc="http://schemas.openxmlformats.org/markup-compatibility/2006">
          <mc:Choice Requires="x14">
            <control shapeId="6162" r:id="rId18" name="Drop Down 18">
              <controlPr locked="0" defaultSize="0" print="0" autoFill="0" autoLine="0" autoPict="0">
                <anchor moveWithCells="1">
                  <from>
                    <xdr:col>1</xdr:col>
                    <xdr:colOff>0</xdr:colOff>
                    <xdr:row>16</xdr:row>
                    <xdr:rowOff>38100</xdr:rowOff>
                  </from>
                  <to>
                    <xdr:col>27</xdr:col>
                    <xdr:colOff>9525</xdr:colOff>
                    <xdr:row>17</xdr:row>
                    <xdr:rowOff>28575</xdr:rowOff>
                  </to>
                </anchor>
              </controlPr>
            </control>
          </mc:Choice>
        </mc:AlternateContent>
        <mc:AlternateContent xmlns:mc="http://schemas.openxmlformats.org/markup-compatibility/2006">
          <mc:Choice Requires="x14">
            <control shapeId="6164" r:id="rId19" name="Drop Down 20">
              <controlPr locked="0" defaultSize="0" print="0" autoFill="0" autoLine="0" autoPict="0">
                <anchor moveWithCells="1">
                  <from>
                    <xdr:col>1</xdr:col>
                    <xdr:colOff>0</xdr:colOff>
                    <xdr:row>17</xdr:row>
                    <xdr:rowOff>38100</xdr:rowOff>
                  </from>
                  <to>
                    <xdr:col>27</xdr:col>
                    <xdr:colOff>9525</xdr:colOff>
                    <xdr:row>18</xdr:row>
                    <xdr:rowOff>28575</xdr:rowOff>
                  </to>
                </anchor>
              </controlPr>
            </control>
          </mc:Choice>
        </mc:AlternateContent>
        <mc:AlternateContent xmlns:mc="http://schemas.openxmlformats.org/markup-compatibility/2006">
          <mc:Choice Requires="x14">
            <control shapeId="6166" r:id="rId20" name="Drop Down 22">
              <controlPr locked="0" defaultSize="0" print="0" autoFill="0" autoLine="0" autoPict="0">
                <anchor moveWithCells="1">
                  <from>
                    <xdr:col>1</xdr:col>
                    <xdr:colOff>0</xdr:colOff>
                    <xdr:row>18</xdr:row>
                    <xdr:rowOff>38100</xdr:rowOff>
                  </from>
                  <to>
                    <xdr:col>27</xdr:col>
                    <xdr:colOff>9525</xdr:colOff>
                    <xdr:row>19</xdr:row>
                    <xdr:rowOff>28575</xdr:rowOff>
                  </to>
                </anchor>
              </controlPr>
            </control>
          </mc:Choice>
        </mc:AlternateContent>
        <mc:AlternateContent xmlns:mc="http://schemas.openxmlformats.org/markup-compatibility/2006">
          <mc:Choice Requires="x14">
            <control shapeId="6167" r:id="rId21" name="Drop Down 23">
              <controlPr locked="0" defaultSize="0" print="0" autoFill="0" autoLine="0" autoPict="0">
                <anchor moveWithCells="1">
                  <from>
                    <xdr:col>1</xdr:col>
                    <xdr:colOff>0</xdr:colOff>
                    <xdr:row>19</xdr:row>
                    <xdr:rowOff>38100</xdr:rowOff>
                  </from>
                  <to>
                    <xdr:col>27</xdr:col>
                    <xdr:colOff>9525</xdr:colOff>
                    <xdr:row>20</xdr:row>
                    <xdr:rowOff>28575</xdr:rowOff>
                  </to>
                </anchor>
              </controlPr>
            </control>
          </mc:Choice>
        </mc:AlternateContent>
        <mc:AlternateContent xmlns:mc="http://schemas.openxmlformats.org/markup-compatibility/2006">
          <mc:Choice Requires="x14">
            <control shapeId="6168" r:id="rId22" name="Drop Down 24">
              <controlPr locked="0" defaultSize="0" print="0" autoFill="0" autoLine="0" autoPict="0">
                <anchor moveWithCells="1">
                  <from>
                    <xdr:col>1</xdr:col>
                    <xdr:colOff>0</xdr:colOff>
                    <xdr:row>4</xdr:row>
                    <xdr:rowOff>28575</xdr:rowOff>
                  </from>
                  <to>
                    <xdr:col>27</xdr:col>
                    <xdr:colOff>9525</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pageSetUpPr fitToPage="1"/>
  </sheetPr>
  <dimension ref="A1:FY63"/>
  <sheetViews>
    <sheetView showGridLines="0" showRowColHeaders="0" showZeros="0" zoomScale="110" zoomScaleNormal="110" workbookViewId="0">
      <selection activeCell="V35" sqref="V35"/>
    </sheetView>
  </sheetViews>
  <sheetFormatPr baseColWidth="10" defaultColWidth="11.42578125" defaultRowHeight="12" zeroHeight="1" outlineLevelCol="1" x14ac:dyDescent="0.2"/>
  <cols>
    <col min="1" max="1" width="2.42578125" style="883" customWidth="1"/>
    <col min="2" max="2" width="6.140625" style="47" customWidth="1"/>
    <col min="3" max="3" width="25" style="47" hidden="1" customWidth="1"/>
    <col min="4" max="4" width="21.140625" style="47" customWidth="1"/>
    <col min="5" max="5" width="16.85546875" style="47" hidden="1" customWidth="1"/>
    <col min="6" max="6" width="16" style="47" customWidth="1"/>
    <col min="7" max="14" width="10.42578125" style="47" customWidth="1"/>
    <col min="15" max="20" width="10.42578125" style="47" hidden="1" customWidth="1" outlineLevel="1"/>
    <col min="21" max="21" width="11" style="47" customWidth="1" collapsed="1"/>
    <col min="22" max="22" width="11" style="47" customWidth="1"/>
    <col min="23" max="29" width="9" style="47" customWidth="1"/>
    <col min="30" max="30" width="9" style="47" hidden="1" customWidth="1" outlineLevel="1"/>
    <col min="31" max="35" width="9" style="879" hidden="1" customWidth="1" outlineLevel="1"/>
    <col min="36" max="36" width="9" style="879" customWidth="1" collapsed="1"/>
    <col min="37" max="37" width="2.140625" style="1145" customWidth="1"/>
    <col min="38" max="38" width="0.5703125" style="47" customWidth="1"/>
    <col min="39" max="16384" width="11.42578125" style="509"/>
  </cols>
  <sheetData>
    <row r="1" spans="1:181" s="895" customFormat="1" ht="6" customHeight="1" thickTop="1" x14ac:dyDescent="0.2">
      <c r="A1" s="893"/>
      <c r="B1" s="894"/>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1131"/>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509"/>
      <c r="BP1" s="509"/>
      <c r="BQ1" s="509"/>
      <c r="BR1" s="509"/>
      <c r="BS1" s="509"/>
      <c r="BT1" s="509"/>
      <c r="BU1" s="509"/>
      <c r="BV1" s="509"/>
      <c r="BW1" s="509"/>
      <c r="BX1" s="509"/>
      <c r="BY1" s="509"/>
      <c r="BZ1" s="509"/>
      <c r="CA1" s="509"/>
      <c r="CB1" s="509"/>
      <c r="CC1" s="509"/>
      <c r="CD1" s="509"/>
      <c r="CE1" s="509"/>
      <c r="CF1" s="509"/>
      <c r="CG1" s="509"/>
      <c r="CH1" s="509"/>
      <c r="CI1" s="509"/>
      <c r="CJ1" s="509"/>
      <c r="CK1" s="509"/>
      <c r="CL1" s="509"/>
      <c r="CM1" s="509"/>
      <c r="CN1" s="509"/>
      <c r="CO1" s="509"/>
      <c r="CP1" s="509"/>
      <c r="CQ1" s="509"/>
      <c r="CR1" s="509"/>
      <c r="CS1" s="509"/>
      <c r="CT1" s="509"/>
      <c r="CU1" s="509"/>
      <c r="CV1" s="509"/>
      <c r="CW1" s="509"/>
      <c r="CX1" s="509"/>
      <c r="CY1" s="509"/>
      <c r="CZ1" s="509"/>
      <c r="DA1" s="509"/>
      <c r="DB1" s="509"/>
      <c r="DC1" s="509"/>
      <c r="DD1" s="509"/>
      <c r="DE1" s="509"/>
      <c r="DF1" s="509"/>
      <c r="DG1" s="509"/>
      <c r="DH1" s="509"/>
      <c r="DI1" s="509"/>
      <c r="DJ1" s="509"/>
      <c r="DK1" s="509"/>
      <c r="DL1" s="509"/>
      <c r="DM1" s="509"/>
      <c r="DN1" s="509"/>
      <c r="DO1" s="509"/>
      <c r="DP1" s="509"/>
      <c r="DQ1" s="509"/>
      <c r="DR1" s="509"/>
      <c r="DS1" s="509"/>
      <c r="DT1" s="509"/>
      <c r="DU1" s="509"/>
      <c r="DV1" s="509"/>
      <c r="DW1" s="509"/>
      <c r="DX1" s="509"/>
      <c r="DY1" s="509"/>
      <c r="DZ1" s="509"/>
      <c r="EA1" s="509"/>
      <c r="EB1" s="509"/>
      <c r="EC1" s="509"/>
      <c r="ED1" s="509"/>
      <c r="EE1" s="509"/>
      <c r="EF1" s="509"/>
      <c r="EG1" s="509"/>
      <c r="EH1" s="509"/>
      <c r="EI1" s="509"/>
      <c r="EJ1" s="509"/>
      <c r="EK1" s="509"/>
      <c r="EL1" s="509"/>
      <c r="EM1" s="509"/>
      <c r="EN1" s="509"/>
      <c r="EO1" s="509"/>
      <c r="EP1" s="509"/>
      <c r="EQ1" s="509"/>
      <c r="ER1" s="509"/>
      <c r="ES1" s="509"/>
      <c r="ET1" s="509"/>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row>
    <row r="2" spans="1:181" s="899" customFormat="1" ht="16.5" customHeight="1" x14ac:dyDescent="0.2">
      <c r="A2" s="896"/>
      <c r="B2" s="897"/>
      <c r="C2" s="880"/>
      <c r="D2" s="880"/>
      <c r="E2" s="880"/>
      <c r="F2" s="880"/>
      <c r="G2" s="880"/>
      <c r="H2" s="880"/>
      <c r="I2" s="880"/>
      <c r="J2" s="898" t="str">
        <f>"Futterberechnung für "&amp;IF(Art=1,"Milchkühe",IF(Art=2,"Milchschafe",IF(Art=3,"Milchziegen","")))</f>
        <v>Futterberechnung für Milchkühe</v>
      </c>
      <c r="K2" s="880"/>
      <c r="L2" s="880"/>
      <c r="M2" s="880"/>
      <c r="N2" s="880"/>
      <c r="O2" s="880"/>
      <c r="P2" s="880"/>
      <c r="Q2" s="880"/>
      <c r="R2" s="882"/>
      <c r="S2" s="880"/>
      <c r="T2" s="880"/>
      <c r="U2" s="880"/>
      <c r="V2" s="880"/>
      <c r="W2" s="880"/>
      <c r="X2" s="1486"/>
      <c r="Y2" s="1486"/>
      <c r="Z2" s="1486"/>
      <c r="AA2" s="880"/>
      <c r="AB2" s="880"/>
      <c r="AC2" s="880"/>
      <c r="AD2" s="880"/>
      <c r="AE2" s="880"/>
      <c r="AF2" s="880"/>
      <c r="AG2" s="880"/>
      <c r="AH2" s="880"/>
      <c r="AI2" s="880"/>
      <c r="AJ2" s="882"/>
      <c r="AK2" s="1132"/>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row>
    <row r="3" spans="1:181" s="895" customFormat="1" ht="3.75" customHeight="1" thickBot="1" x14ac:dyDescent="0.25">
      <c r="A3" s="896"/>
      <c r="B3" s="897"/>
      <c r="C3" s="900">
        <v>1</v>
      </c>
      <c r="D3" s="901"/>
      <c r="E3" s="901"/>
      <c r="F3" s="902">
        <v>2</v>
      </c>
      <c r="G3" s="880"/>
      <c r="H3" s="880"/>
      <c r="I3" s="880"/>
      <c r="J3" s="903"/>
      <c r="K3" s="880"/>
      <c r="L3" s="880"/>
      <c r="M3" s="880"/>
      <c r="N3" s="880"/>
      <c r="O3" s="880"/>
      <c r="P3" s="880"/>
      <c r="Q3" s="880"/>
      <c r="R3" s="880"/>
      <c r="S3" s="880"/>
      <c r="T3" s="880"/>
      <c r="U3" s="880"/>
      <c r="V3" s="880"/>
      <c r="W3" s="880"/>
      <c r="X3" s="880"/>
      <c r="Y3" s="904"/>
      <c r="Z3" s="880"/>
      <c r="AA3" s="880"/>
      <c r="AB3" s="880"/>
      <c r="AC3" s="880"/>
      <c r="AD3" s="880"/>
      <c r="AE3" s="904"/>
      <c r="AF3" s="880"/>
      <c r="AG3" s="880"/>
      <c r="AH3" s="880"/>
      <c r="AI3" s="880"/>
      <c r="AJ3" s="880"/>
      <c r="AK3" s="1132"/>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09"/>
      <c r="DQ3" s="509"/>
      <c r="DR3" s="509"/>
      <c r="DS3" s="509"/>
      <c r="DT3" s="509"/>
      <c r="DU3" s="509"/>
      <c r="DV3" s="509"/>
      <c r="DW3" s="509"/>
      <c r="DX3" s="509"/>
      <c r="DY3" s="509"/>
      <c r="DZ3" s="509"/>
      <c r="EA3" s="509"/>
      <c r="EB3" s="509"/>
      <c r="EC3" s="509"/>
      <c r="ED3" s="509"/>
      <c r="EE3" s="509"/>
      <c r="EF3" s="509"/>
      <c r="EG3" s="509"/>
      <c r="EH3" s="509"/>
      <c r="EI3" s="509"/>
      <c r="EJ3" s="509"/>
      <c r="EK3" s="509"/>
      <c r="EL3" s="509"/>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row>
    <row r="4" spans="1:181" ht="15.75" customHeight="1" x14ac:dyDescent="0.2">
      <c r="A4" s="896"/>
      <c r="B4" s="151"/>
      <c r="C4" s="89"/>
      <c r="D4" s="955" t="s">
        <v>153</v>
      </c>
      <c r="E4" s="956"/>
      <c r="F4" s="957"/>
      <c r="G4" s="152"/>
      <c r="H4" s="33" t="s">
        <v>165</v>
      </c>
      <c r="I4" s="34"/>
      <c r="J4" s="34"/>
      <c r="K4" s="34"/>
      <c r="L4" s="35"/>
      <c r="M4" s="880"/>
      <c r="N4" s="880"/>
      <c r="O4" s="880"/>
      <c r="P4" s="880"/>
      <c r="Q4" s="880"/>
      <c r="R4" s="880"/>
      <c r="S4" s="903"/>
      <c r="T4" s="903"/>
      <c r="U4" s="903"/>
      <c r="V4" s="903"/>
      <c r="W4" s="880"/>
      <c r="X4" s="897"/>
      <c r="Y4" s="913"/>
      <c r="Z4" s="880"/>
      <c r="AA4" s="880"/>
      <c r="AB4" s="880"/>
      <c r="AC4" s="880"/>
      <c r="AD4" s="880"/>
      <c r="AE4" s="913"/>
      <c r="AF4" s="880"/>
      <c r="AG4" s="880"/>
      <c r="AH4" s="880"/>
      <c r="AI4" s="880"/>
      <c r="AJ4" s="880"/>
      <c r="AK4" s="1132"/>
    </row>
    <row r="5" spans="1:181" ht="15.75" customHeight="1" x14ac:dyDescent="0.2">
      <c r="A5" s="896"/>
      <c r="B5" s="151"/>
      <c r="C5" s="89"/>
      <c r="D5" s="958" t="s">
        <v>154</v>
      </c>
      <c r="E5" s="959"/>
      <c r="F5" s="960"/>
      <c r="G5" s="152"/>
      <c r="H5" s="36">
        <v>1</v>
      </c>
      <c r="I5" s="37" t="s">
        <v>163</v>
      </c>
      <c r="J5" s="38"/>
      <c r="K5" s="38"/>
      <c r="L5" s="39"/>
      <c r="M5" s="880"/>
      <c r="N5" s="880"/>
      <c r="O5" s="880"/>
      <c r="P5" s="880"/>
      <c r="Q5" s="880"/>
      <c r="R5" s="880"/>
      <c r="S5" s="903"/>
      <c r="T5" s="903"/>
      <c r="U5" s="903"/>
      <c r="V5" s="903"/>
      <c r="W5" s="880"/>
      <c r="X5" s="897"/>
      <c r="Y5" s="913"/>
      <c r="Z5" s="880"/>
      <c r="AA5" s="880"/>
      <c r="AB5" s="880"/>
      <c r="AC5" s="880"/>
      <c r="AD5" s="880"/>
      <c r="AE5" s="913"/>
      <c r="AF5" s="880"/>
      <c r="AG5" s="880"/>
      <c r="AH5" s="880"/>
      <c r="AI5" s="880"/>
      <c r="AJ5" s="880"/>
      <c r="AK5" s="1132"/>
    </row>
    <row r="6" spans="1:181" ht="15.75" customHeight="1" thickBot="1" x14ac:dyDescent="0.25">
      <c r="A6" s="896"/>
      <c r="B6" s="151"/>
      <c r="C6" s="89"/>
      <c r="D6" s="961" t="s">
        <v>155</v>
      </c>
      <c r="E6" s="962"/>
      <c r="F6" s="963"/>
      <c r="G6" s="152"/>
      <c r="H6" s="40"/>
      <c r="I6" s="41" t="s">
        <v>164</v>
      </c>
      <c r="J6" s="42"/>
      <c r="K6" s="42"/>
      <c r="L6" s="43"/>
      <c r="M6" s="880"/>
      <c r="N6" s="880"/>
      <c r="O6" s="880"/>
      <c r="P6" s="880"/>
      <c r="Q6" s="880"/>
      <c r="R6" s="880"/>
      <c r="S6" s="903"/>
      <c r="T6" s="903"/>
      <c r="U6" s="903"/>
      <c r="V6" s="903"/>
      <c r="W6" s="880"/>
      <c r="X6" s="897"/>
      <c r="Y6" s="913"/>
      <c r="Z6" s="880"/>
      <c r="AA6" s="880"/>
      <c r="AB6" s="880"/>
      <c r="AC6" s="880"/>
      <c r="AD6" s="880"/>
      <c r="AE6" s="913"/>
      <c r="AF6" s="880"/>
      <c r="AG6" s="880"/>
      <c r="AH6" s="880"/>
      <c r="AI6" s="880"/>
      <c r="AJ6" s="880"/>
      <c r="AK6" s="1132"/>
    </row>
    <row r="7" spans="1:181" ht="4.5" customHeight="1" thickBot="1" x14ac:dyDescent="0.25">
      <c r="A7" s="889"/>
      <c r="B7" s="154"/>
      <c r="C7" s="165"/>
      <c r="D7" s="154"/>
      <c r="E7" s="154"/>
      <c r="F7" s="154"/>
      <c r="G7" s="154"/>
      <c r="H7" s="154"/>
      <c r="I7" s="154"/>
      <c r="J7" s="154"/>
      <c r="K7" s="154"/>
      <c r="L7" s="154"/>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1133"/>
    </row>
    <row r="8" spans="1:181" s="510" customFormat="1" ht="18.75" customHeight="1" thickBot="1" x14ac:dyDescent="0.25">
      <c r="A8" s="946"/>
      <c r="B8" s="155"/>
      <c r="C8" s="90"/>
      <c r="D8" s="964" t="s">
        <v>142</v>
      </c>
      <c r="E8" s="965" t="s">
        <v>142</v>
      </c>
      <c r="F8" s="964" t="s">
        <v>247</v>
      </c>
      <c r="G8" s="966" t="s">
        <v>0</v>
      </c>
      <c r="H8" s="1487" t="s">
        <v>145</v>
      </c>
      <c r="I8" s="967" t="s">
        <v>1</v>
      </c>
      <c r="J8" s="968" t="s">
        <v>2</v>
      </c>
      <c r="K8" s="969"/>
      <c r="L8" s="970"/>
      <c r="M8" s="905"/>
      <c r="N8" s="905"/>
      <c r="O8" s="905"/>
      <c r="P8" s="905"/>
      <c r="Q8" s="905"/>
      <c r="R8" s="905"/>
      <c r="S8" s="905"/>
      <c r="T8" s="905"/>
      <c r="U8" s="884"/>
      <c r="V8" s="884"/>
      <c r="W8" s="884"/>
      <c r="X8" s="884"/>
      <c r="Y8" s="884"/>
      <c r="Z8" s="884"/>
      <c r="AA8" s="884"/>
      <c r="AB8" s="884"/>
      <c r="AC8" s="884"/>
      <c r="AD8" s="884"/>
      <c r="AE8" s="884"/>
      <c r="AF8" s="884"/>
      <c r="AG8" s="884"/>
      <c r="AH8" s="884"/>
      <c r="AI8" s="884"/>
      <c r="AJ8" s="884"/>
      <c r="AK8" s="1134"/>
      <c r="AL8" s="48"/>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09"/>
      <c r="CH8" s="509"/>
      <c r="CI8" s="509"/>
      <c r="CJ8" s="509"/>
      <c r="CK8" s="509"/>
      <c r="CL8" s="509"/>
      <c r="CM8" s="509"/>
      <c r="CN8" s="509"/>
      <c r="CO8" s="509"/>
      <c r="CP8" s="509"/>
      <c r="CQ8" s="509"/>
      <c r="CR8" s="509"/>
      <c r="CS8" s="509"/>
      <c r="CT8" s="509"/>
      <c r="CU8" s="509"/>
      <c r="CV8" s="509"/>
      <c r="CW8" s="509"/>
      <c r="CX8" s="509"/>
      <c r="CY8" s="509"/>
      <c r="CZ8" s="509"/>
      <c r="DA8" s="509"/>
      <c r="DB8" s="509"/>
      <c r="DC8" s="509"/>
      <c r="DD8" s="509"/>
      <c r="DE8" s="509"/>
      <c r="DF8" s="509"/>
      <c r="DG8" s="509"/>
      <c r="DH8" s="509"/>
      <c r="DI8" s="509"/>
      <c r="DJ8" s="509"/>
      <c r="DK8" s="509"/>
      <c r="DL8" s="509"/>
      <c r="DM8" s="509"/>
      <c r="DN8" s="509"/>
      <c r="DO8" s="509"/>
      <c r="DP8" s="509"/>
      <c r="DQ8" s="509"/>
      <c r="DR8" s="509"/>
      <c r="DS8" s="509"/>
      <c r="DT8" s="509"/>
      <c r="DU8" s="509"/>
      <c r="DV8" s="509"/>
      <c r="DW8" s="509"/>
      <c r="DX8" s="509"/>
      <c r="DY8" s="509"/>
      <c r="DZ8" s="509"/>
      <c r="EA8" s="509"/>
      <c r="EB8" s="509"/>
      <c r="EC8" s="509"/>
      <c r="ED8" s="509"/>
      <c r="EE8" s="509"/>
      <c r="EF8" s="509"/>
      <c r="EG8" s="509"/>
      <c r="EH8" s="509"/>
      <c r="EI8" s="509"/>
      <c r="EJ8" s="509"/>
      <c r="EK8" s="509"/>
      <c r="EL8" s="509"/>
      <c r="EM8" s="509"/>
      <c r="EN8" s="509"/>
      <c r="EO8" s="509"/>
      <c r="EP8" s="509"/>
      <c r="EQ8" s="509"/>
      <c r="ER8" s="509"/>
      <c r="ES8" s="509"/>
      <c r="ET8" s="509"/>
      <c r="EU8" s="509"/>
      <c r="EV8" s="509"/>
      <c r="EW8" s="509"/>
      <c r="EX8" s="509"/>
      <c r="EY8" s="509"/>
      <c r="EZ8" s="509"/>
      <c r="FA8" s="509"/>
      <c r="FB8" s="509"/>
      <c r="FC8" s="509"/>
      <c r="FD8" s="509"/>
      <c r="FE8" s="509"/>
      <c r="FF8" s="509"/>
      <c r="FG8" s="509"/>
      <c r="FH8" s="509"/>
      <c r="FI8" s="509"/>
      <c r="FJ8" s="509"/>
      <c r="FK8" s="509"/>
      <c r="FL8" s="509"/>
      <c r="FM8" s="509"/>
      <c r="FN8" s="509"/>
      <c r="FO8" s="509"/>
      <c r="FP8" s="509"/>
      <c r="FQ8" s="509"/>
      <c r="FR8" s="509"/>
      <c r="FS8" s="509"/>
      <c r="FT8" s="509"/>
      <c r="FU8" s="509"/>
      <c r="FV8" s="509"/>
      <c r="FW8" s="509"/>
      <c r="FX8" s="509"/>
      <c r="FY8" s="509"/>
    </row>
    <row r="9" spans="1:181" s="511" customFormat="1" ht="18.75" customHeight="1" thickBot="1" x14ac:dyDescent="0.25">
      <c r="A9" s="947"/>
      <c r="B9" s="154"/>
      <c r="C9" s="91"/>
      <c r="D9" s="878"/>
      <c r="E9" s="49"/>
      <c r="F9" s="877">
        <v>10</v>
      </c>
      <c r="G9" s="971"/>
      <c r="H9" s="1488"/>
      <c r="I9" s="972"/>
      <c r="J9" s="973" t="s">
        <v>265</v>
      </c>
      <c r="K9" s="971" t="s">
        <v>4</v>
      </c>
      <c r="L9" s="972" t="s">
        <v>5</v>
      </c>
      <c r="M9" s="905"/>
      <c r="N9" s="905"/>
      <c r="O9" s="905"/>
      <c r="P9" s="905"/>
      <c r="Q9" s="905"/>
      <c r="R9" s="905"/>
      <c r="S9" s="905"/>
      <c r="T9" s="905"/>
      <c r="U9" s="890"/>
      <c r="V9" s="978" t="str">
        <f>"Bedarf de"&amp;IF(Art=1,"r Kuh",IF(Art=2,"s Schafes",IF(Art=3,"r Ziege","")))</f>
        <v>Bedarf der Kuh</v>
      </c>
      <c r="W9" s="979"/>
      <c r="X9" s="979"/>
      <c r="Y9" s="979"/>
      <c r="Z9" s="979"/>
      <c r="AA9" s="979"/>
      <c r="AB9" s="979"/>
      <c r="AC9" s="980"/>
      <c r="AD9" s="1408"/>
      <c r="AE9" s="979"/>
      <c r="AF9" s="979"/>
      <c r="AG9" s="979"/>
      <c r="AH9" s="980"/>
      <c r="AI9" s="1085"/>
      <c r="AJ9" s="885"/>
      <c r="AK9" s="1135"/>
      <c r="AL9" s="50"/>
      <c r="AM9" s="509"/>
      <c r="AN9" s="509"/>
      <c r="AO9" s="509"/>
      <c r="AP9" s="509"/>
      <c r="AQ9" s="509"/>
      <c r="AR9" s="509"/>
      <c r="AS9" s="509"/>
      <c r="AT9" s="509"/>
      <c r="AU9" s="509"/>
      <c r="AV9" s="509"/>
      <c r="AW9" s="509"/>
      <c r="AX9" s="509"/>
      <c r="AY9" s="509"/>
      <c r="AZ9" s="509"/>
      <c r="BA9" s="509"/>
      <c r="BB9" s="509"/>
      <c r="BC9" s="509"/>
      <c r="BD9" s="509"/>
      <c r="BE9" s="509"/>
      <c r="BF9" s="509"/>
      <c r="BG9" s="509"/>
      <c r="BH9" s="509"/>
      <c r="BI9" s="509"/>
      <c r="BJ9" s="509"/>
      <c r="BK9" s="509"/>
      <c r="BL9" s="509"/>
      <c r="BM9" s="509"/>
      <c r="BN9" s="509"/>
      <c r="BO9" s="509"/>
      <c r="BP9" s="509"/>
      <c r="BQ9" s="509"/>
      <c r="BR9" s="509"/>
      <c r="BS9" s="509"/>
      <c r="BT9" s="509"/>
      <c r="BU9" s="509"/>
      <c r="BV9" s="509"/>
      <c r="BW9" s="509"/>
      <c r="BX9" s="509"/>
      <c r="BY9" s="509"/>
      <c r="BZ9" s="509"/>
      <c r="CA9" s="509"/>
      <c r="CB9" s="509"/>
      <c r="CC9" s="509"/>
      <c r="CD9" s="509"/>
      <c r="CE9" s="509"/>
      <c r="CF9" s="509"/>
      <c r="CG9" s="509"/>
      <c r="CH9" s="509"/>
      <c r="CI9" s="509"/>
      <c r="CJ9" s="509"/>
      <c r="CK9" s="509"/>
      <c r="CL9" s="509"/>
      <c r="CM9" s="509"/>
      <c r="CN9" s="509"/>
      <c r="CO9" s="509"/>
      <c r="CP9" s="509"/>
      <c r="CQ9" s="509"/>
      <c r="CR9" s="509"/>
      <c r="CS9" s="509"/>
      <c r="CT9" s="509"/>
      <c r="CU9" s="509"/>
      <c r="CV9" s="509"/>
      <c r="CW9" s="509"/>
      <c r="CX9" s="509"/>
      <c r="CY9" s="509"/>
      <c r="CZ9" s="509"/>
      <c r="DA9" s="509"/>
      <c r="DB9" s="509"/>
      <c r="DC9" s="509"/>
      <c r="DD9" s="509"/>
      <c r="DE9" s="509"/>
      <c r="DF9" s="509"/>
      <c r="DG9" s="509"/>
      <c r="DH9" s="509"/>
      <c r="DI9" s="509"/>
      <c r="DJ9" s="509"/>
      <c r="DK9" s="509"/>
      <c r="DL9" s="509"/>
      <c r="DM9" s="509"/>
      <c r="DN9" s="509"/>
      <c r="DO9" s="509"/>
      <c r="DP9" s="509"/>
      <c r="DQ9" s="509"/>
      <c r="DR9" s="509"/>
      <c r="DS9" s="509"/>
      <c r="DT9" s="509"/>
      <c r="DU9" s="509"/>
      <c r="DV9" s="509"/>
      <c r="DW9" s="509"/>
      <c r="DX9" s="509"/>
      <c r="DY9" s="509"/>
      <c r="DZ9" s="509"/>
      <c r="EA9" s="509"/>
      <c r="EB9" s="509"/>
      <c r="EC9" s="509"/>
      <c r="ED9" s="509"/>
      <c r="EE9" s="509"/>
      <c r="EF9" s="509"/>
      <c r="EG9" s="509"/>
      <c r="EH9" s="509"/>
      <c r="EI9" s="509"/>
      <c r="EJ9" s="509"/>
      <c r="EK9" s="509"/>
      <c r="EL9" s="509"/>
      <c r="EM9" s="509"/>
      <c r="EN9" s="509"/>
      <c r="EO9" s="509"/>
      <c r="EP9" s="509"/>
      <c r="EQ9" s="509"/>
      <c r="ER9" s="509"/>
      <c r="ES9" s="509"/>
      <c r="ET9" s="509"/>
      <c r="EU9" s="509"/>
      <c r="EV9" s="509"/>
      <c r="EW9" s="509"/>
      <c r="EX9" s="509"/>
      <c r="EY9" s="509"/>
      <c r="EZ9" s="509"/>
      <c r="FA9" s="509"/>
      <c r="FB9" s="509"/>
      <c r="FC9" s="509"/>
      <c r="FD9" s="509"/>
      <c r="FE9" s="509"/>
      <c r="FF9" s="509"/>
      <c r="FG9" s="509"/>
      <c r="FH9" s="509"/>
      <c r="FI9" s="509"/>
      <c r="FJ9" s="509"/>
      <c r="FK9" s="509"/>
      <c r="FL9" s="509"/>
      <c r="FM9" s="509"/>
      <c r="FN9" s="509"/>
      <c r="FO9" s="509"/>
      <c r="FP9" s="509"/>
      <c r="FQ9" s="509"/>
      <c r="FR9" s="509"/>
      <c r="FS9" s="509"/>
      <c r="FT9" s="509"/>
      <c r="FU9" s="509"/>
      <c r="FV9" s="509"/>
      <c r="FW9" s="509"/>
      <c r="FX9" s="509"/>
      <c r="FY9" s="509"/>
    </row>
    <row r="10" spans="1:181" s="511" customFormat="1" ht="18.75" customHeight="1" thickBot="1" x14ac:dyDescent="0.25">
      <c r="A10" s="948"/>
      <c r="B10" s="154"/>
      <c r="C10" s="91"/>
      <c r="D10" s="51"/>
      <c r="E10" s="52"/>
      <c r="F10" s="876" t="str">
        <f>IF(Art=1,"Holstein",IF(Art=2,"Milchschaf",IF(Art=3,"Milchziege")))</f>
        <v>Holstein</v>
      </c>
      <c r="G10" s="974" t="s">
        <v>7</v>
      </c>
      <c r="H10" s="974" t="s">
        <v>215</v>
      </c>
      <c r="I10" s="975" t="s">
        <v>9</v>
      </c>
      <c r="J10" s="976" t="s">
        <v>10</v>
      </c>
      <c r="K10" s="977" t="s">
        <v>11</v>
      </c>
      <c r="L10" s="975" t="s">
        <v>11</v>
      </c>
      <c r="M10" s="905"/>
      <c r="N10" s="905"/>
      <c r="O10" s="905"/>
      <c r="P10" s="905"/>
      <c r="Q10" s="905"/>
      <c r="R10" s="905"/>
      <c r="S10" s="905"/>
      <c r="T10" s="905"/>
      <c r="U10" s="890"/>
      <c r="V10" s="981" t="str">
        <f>V18</f>
        <v>TM</v>
      </c>
      <c r="W10" s="982" t="str">
        <f t="shared" ref="W10:AH10" si="0">W18</f>
        <v>NEL</v>
      </c>
      <c r="X10" s="982" t="str">
        <f t="shared" si="0"/>
        <v>nXP</v>
      </c>
      <c r="Y10" s="982" t="str">
        <f t="shared" si="0"/>
        <v>RNB</v>
      </c>
      <c r="Z10" s="982" t="str">
        <f t="shared" si="0"/>
        <v>NFC</v>
      </c>
      <c r="AA10" s="982" t="str">
        <f t="shared" si="0"/>
        <v>SW</v>
      </c>
      <c r="AB10" s="982" t="str">
        <f t="shared" si="0"/>
        <v>ADF</v>
      </c>
      <c r="AC10" s="983" t="str">
        <f t="shared" si="0"/>
        <v>NDF</v>
      </c>
      <c r="AD10" s="1409" t="str">
        <f>AD18</f>
        <v>XS</v>
      </c>
      <c r="AE10" s="982" t="str">
        <f t="shared" si="0"/>
        <v>XZ</v>
      </c>
      <c r="AF10" s="982" t="str">
        <f t="shared" si="0"/>
        <v>XL</v>
      </c>
      <c r="AG10" s="982" t="str">
        <f t="shared" si="0"/>
        <v>XF</v>
      </c>
      <c r="AH10" s="983" t="str">
        <f t="shared" si="0"/>
        <v>sXF</v>
      </c>
      <c r="AI10" s="1085"/>
      <c r="AJ10" s="885"/>
      <c r="AK10" s="1136"/>
      <c r="AL10" s="50"/>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c r="BV10" s="509"/>
      <c r="BW10" s="509"/>
      <c r="BX10" s="509"/>
      <c r="BY10" s="509"/>
      <c r="BZ10" s="509"/>
      <c r="CA10" s="509"/>
      <c r="CB10" s="509"/>
      <c r="CC10" s="509"/>
      <c r="CD10" s="509"/>
      <c r="CE10" s="509"/>
      <c r="CF10" s="509"/>
      <c r="CG10" s="509"/>
      <c r="CH10" s="509"/>
      <c r="CI10" s="509"/>
      <c r="CJ10" s="509"/>
      <c r="CK10" s="509"/>
      <c r="CL10" s="509"/>
      <c r="CM10" s="509"/>
      <c r="CN10" s="509"/>
      <c r="CO10" s="509"/>
      <c r="CP10" s="509"/>
      <c r="CQ10" s="509"/>
      <c r="CR10" s="509"/>
      <c r="CS10" s="509"/>
      <c r="CT10" s="509"/>
      <c r="CU10" s="509"/>
      <c r="CV10" s="509"/>
      <c r="CW10" s="509"/>
      <c r="CX10" s="509"/>
      <c r="CY10" s="509"/>
      <c r="CZ10" s="509"/>
      <c r="DA10" s="509"/>
      <c r="DB10" s="509"/>
      <c r="DC10" s="509"/>
      <c r="DD10" s="509"/>
      <c r="DE10" s="509"/>
      <c r="DF10" s="509"/>
      <c r="DG10" s="509"/>
      <c r="DH10" s="509"/>
      <c r="DI10" s="509"/>
      <c r="DJ10" s="509"/>
      <c r="DK10" s="509"/>
      <c r="DL10" s="509"/>
      <c r="DM10" s="509"/>
      <c r="DN10" s="509"/>
      <c r="DO10" s="509"/>
      <c r="DP10" s="509"/>
      <c r="DQ10" s="509"/>
      <c r="DR10" s="509"/>
      <c r="DS10" s="509"/>
      <c r="DT10" s="509"/>
      <c r="DU10" s="509"/>
      <c r="DV10" s="509"/>
      <c r="DW10" s="509"/>
      <c r="DX10" s="509"/>
      <c r="DY10" s="509"/>
      <c r="DZ10" s="509"/>
      <c r="EA10" s="509"/>
      <c r="EB10" s="509"/>
      <c r="EC10" s="509"/>
      <c r="ED10" s="509"/>
      <c r="EE10" s="509"/>
      <c r="EF10" s="509"/>
      <c r="EG10" s="509"/>
      <c r="EH10" s="509"/>
      <c r="EI10" s="509"/>
      <c r="EJ10" s="509"/>
      <c r="EK10" s="509"/>
      <c r="EL10" s="509"/>
      <c r="EM10" s="509"/>
      <c r="EN10" s="509"/>
      <c r="EO10" s="509"/>
      <c r="EP10" s="509"/>
      <c r="EQ10" s="509"/>
      <c r="ER10" s="509"/>
      <c r="ES10" s="509"/>
      <c r="ET10" s="509"/>
      <c r="EU10" s="509"/>
      <c r="EV10" s="509"/>
      <c r="EW10" s="509"/>
      <c r="EX10" s="509"/>
      <c r="EY10" s="509"/>
      <c r="EZ10" s="509"/>
      <c r="FA10" s="509"/>
      <c r="FB10" s="509"/>
      <c r="FC10" s="509"/>
      <c r="FD10" s="509"/>
      <c r="FE10" s="509"/>
      <c r="FF10" s="509"/>
      <c r="FG10" s="509"/>
      <c r="FH10" s="509"/>
      <c r="FI10" s="509"/>
      <c r="FJ10" s="509"/>
      <c r="FK10" s="509"/>
      <c r="FL10" s="509"/>
      <c r="FM10" s="509"/>
      <c r="FN10" s="509"/>
      <c r="FO10" s="509"/>
      <c r="FP10" s="509"/>
      <c r="FQ10" s="509"/>
      <c r="FR10" s="509"/>
      <c r="FS10" s="509"/>
      <c r="FT10" s="509"/>
      <c r="FU10" s="509"/>
      <c r="FV10" s="509"/>
      <c r="FW10" s="509"/>
      <c r="FX10" s="509"/>
      <c r="FY10" s="509"/>
    </row>
    <row r="11" spans="1:181" s="511" customFormat="1" ht="21" customHeight="1" thickBot="1" x14ac:dyDescent="0.25">
      <c r="A11" s="948"/>
      <c r="B11" s="154"/>
      <c r="C11" s="91">
        <v>1</v>
      </c>
      <c r="D11" s="53">
        <v>1</v>
      </c>
      <c r="E11" s="53"/>
      <c r="F11" s="117" t="str">
        <f>IF(Art=1,"Fleckvieh","")</f>
        <v>Fleckvieh</v>
      </c>
      <c r="G11" s="104"/>
      <c r="H11" s="105"/>
      <c r="I11" s="106"/>
      <c r="J11" s="107"/>
      <c r="K11" s="108"/>
      <c r="L11" s="109"/>
      <c r="M11" s="905"/>
      <c r="N11" s="905"/>
      <c r="O11" s="905"/>
      <c r="P11" s="905"/>
      <c r="Q11" s="905"/>
      <c r="R11" s="905"/>
      <c r="S11" s="905"/>
      <c r="T11" s="905"/>
      <c r="U11" s="906"/>
      <c r="V11" s="984" t="s">
        <v>9</v>
      </c>
      <c r="W11" s="985" t="str">
        <f>H19</f>
        <v>MJ</v>
      </c>
      <c r="X11" s="985" t="str">
        <f>I19</f>
        <v>g</v>
      </c>
      <c r="Y11" s="986" t="s">
        <v>382</v>
      </c>
      <c r="Z11" s="987" t="str">
        <f>IF(V40=0,"&lt;"&amp;NFCmax&amp;"g/kg","&lt;"&amp;ROUND(V40*NFCmax,0)&amp;" g")</f>
        <v>&lt;400g/kg</v>
      </c>
      <c r="AA11" s="985" t="str">
        <f>IF(Art=1,"&gt;"&amp;SWmin,"")</f>
        <v>&gt;1,2</v>
      </c>
      <c r="AB11" s="987" t="str">
        <f>IF(V40=0,"&gt;"&amp;ADFmin,"&gt;"&amp;ROUND(V40*ADFmin,0)&amp;" g")</f>
        <v>&gt;200</v>
      </c>
      <c r="AC11" s="1410" t="str">
        <f>IF(U40=0,"&gt;"&amp;NDFmin,"&gt;"&amp;ROUND(V40*NDFmin,0)&amp;" g")</f>
        <v>&gt;300</v>
      </c>
      <c r="AD11" s="1008" t="str">
        <f>IF($V$40=0,"&lt;"&amp;XSmax,"&lt;"&amp;ROUND($V$40*XSmax,0)&amp;" g")</f>
        <v>&lt;350</v>
      </c>
      <c r="AE11" s="985" t="str">
        <f>IF($V$40=0,"&lt;"&amp;XSmax,"&lt;"&amp;ROUND($V$40*XSmax,0)&amp;" g")</f>
        <v>&lt;350</v>
      </c>
      <c r="AF11" s="985" t="str">
        <f>IF($V$40=0,"&lt;"&amp;XLmax,"&lt;"&amp;ROUND($V$40*XLmax,0)&amp;" g")</f>
        <v>&lt;40</v>
      </c>
      <c r="AG11" s="985" t="str">
        <f>IF($U$40=0,"&gt;"&amp;XFmin,"&gt;"&amp;ROUND($U$40*XFmin,0)&amp;" g")</f>
        <v>&gt;160</v>
      </c>
      <c r="AH11" s="988" t="str">
        <f>IF($U$40=0,"&gt;"&amp;sXFmin,"&gt;"&amp;ROUND($U$40*sXFmin,0)&amp;" g")</f>
        <v>&gt;100</v>
      </c>
      <c r="AI11" s="1085"/>
      <c r="AJ11" s="885"/>
      <c r="AK11" s="1136"/>
      <c r="AL11" s="50"/>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c r="CA11" s="509"/>
      <c r="CB11" s="509"/>
      <c r="CC11" s="509"/>
      <c r="CD11" s="509"/>
      <c r="CE11" s="509"/>
      <c r="CF11" s="509"/>
      <c r="CG11" s="509"/>
      <c r="CH11" s="509"/>
      <c r="CI11" s="509"/>
      <c r="CJ11" s="509"/>
      <c r="CK11" s="509"/>
      <c r="CL11" s="509"/>
      <c r="CM11" s="509"/>
      <c r="CN11" s="509"/>
      <c r="CO11" s="509"/>
      <c r="CP11" s="509"/>
      <c r="CQ11" s="509"/>
      <c r="CR11" s="509"/>
      <c r="CS11" s="509"/>
      <c r="CT11" s="509"/>
      <c r="CU11" s="509"/>
      <c r="CV11" s="509"/>
      <c r="CW11" s="509"/>
      <c r="CX11" s="509"/>
      <c r="CY11" s="509"/>
      <c r="CZ11" s="509"/>
      <c r="DA11" s="509"/>
      <c r="DB11" s="509"/>
      <c r="DC11" s="509"/>
      <c r="DD11" s="509"/>
      <c r="DE11" s="509"/>
      <c r="DF11" s="509"/>
      <c r="DG11" s="509"/>
      <c r="DH11" s="509"/>
      <c r="DI11" s="509"/>
      <c r="DJ11" s="509"/>
      <c r="DK11" s="509"/>
      <c r="DL11" s="509"/>
      <c r="DM11" s="509"/>
      <c r="DN11" s="509"/>
      <c r="DO11" s="509"/>
      <c r="DP11" s="509"/>
      <c r="DQ11" s="509"/>
      <c r="DR11" s="509"/>
      <c r="DS11" s="509"/>
      <c r="DT11" s="509"/>
      <c r="DU11" s="509"/>
      <c r="DV11" s="509"/>
      <c r="DW11" s="509"/>
      <c r="DX11" s="509"/>
      <c r="DY11" s="509"/>
      <c r="DZ11" s="509"/>
      <c r="EA11" s="509"/>
      <c r="EB11" s="509"/>
      <c r="EC11" s="509"/>
      <c r="ED11" s="509"/>
      <c r="EE11" s="509"/>
      <c r="EF11" s="509"/>
      <c r="EG11" s="509"/>
      <c r="EH11" s="509"/>
      <c r="EI11" s="509"/>
      <c r="EJ11" s="509"/>
      <c r="EK11" s="509"/>
      <c r="EL11" s="509"/>
      <c r="EM11" s="509"/>
      <c r="EN11" s="509"/>
      <c r="EO11" s="509"/>
      <c r="EP11" s="509"/>
      <c r="EQ11" s="509"/>
      <c r="ER11" s="509"/>
      <c r="ES11" s="509"/>
      <c r="ET11" s="509"/>
      <c r="EU11" s="509"/>
      <c r="EV11" s="509"/>
      <c r="EW11" s="509"/>
      <c r="EX11" s="509"/>
      <c r="EY11" s="509"/>
      <c r="EZ11" s="509"/>
      <c r="FA11" s="509"/>
      <c r="FB11" s="509"/>
      <c r="FC11" s="509"/>
      <c r="FD11" s="509"/>
      <c r="FE11" s="509"/>
      <c r="FF11" s="509"/>
      <c r="FG11" s="509"/>
      <c r="FH11" s="509"/>
      <c r="FI11" s="509"/>
      <c r="FJ11" s="509"/>
      <c r="FK11" s="509"/>
      <c r="FL11" s="509"/>
      <c r="FM11" s="509"/>
      <c r="FN11" s="509"/>
      <c r="FO11" s="509"/>
      <c r="FP11" s="509"/>
      <c r="FQ11" s="509"/>
      <c r="FR11" s="509"/>
      <c r="FS11" s="509"/>
      <c r="FT11" s="509"/>
      <c r="FU11" s="509"/>
      <c r="FV11" s="509"/>
      <c r="FW11" s="509"/>
      <c r="FX11" s="509"/>
      <c r="FY11" s="509"/>
    </row>
    <row r="12" spans="1:181" s="511" customFormat="1" ht="18.75" customHeight="1" thickBot="1" x14ac:dyDescent="0.25">
      <c r="A12" s="949"/>
      <c r="B12" s="154"/>
      <c r="C12" s="91"/>
      <c r="D12" s="54"/>
      <c r="E12" s="55"/>
      <c r="F12" s="118" t="str">
        <f>IF(Art=1,"Braunvieh","")</f>
        <v>Braunvieh</v>
      </c>
      <c r="G12" s="154"/>
      <c r="H12" s="908"/>
      <c r="I12" s="912"/>
      <c r="J12" s="909"/>
      <c r="K12" s="880"/>
      <c r="L12" s="880"/>
      <c r="M12" s="1484" t="str">
        <f>IF(Art=1,"4,0 % Fett  3,4 %  Eiweiß   -&gt;  3,28MJ NEL/kg, 85 g nXP","")</f>
        <v>4,0 % Fett  3,4 %  Eiweiß   -&gt;  3,28MJ NEL/kg, 85 g nXP</v>
      </c>
      <c r="N12" s="1484"/>
      <c r="O12" s="1484"/>
      <c r="P12" s="1484"/>
      <c r="Q12" s="1484"/>
      <c r="R12" s="1484"/>
      <c r="S12" s="1484"/>
      <c r="T12" s="1484"/>
      <c r="U12" s="1484"/>
      <c r="V12" s="1485"/>
      <c r="W12" s="989">
        <f>ROUND(IF(OR(F_vH=0,E_vH=0),0,IF(M_kg="t",0,IF(Art=1,F_vH*0.38+E_vH*0.21+1.05,IF(Art=2,(F_vH*0.38+E_vH*0.21+0.95)/0.63,IF(Art=3,(F_vH*0.38+E_vH*0.21+0.95)/0.63,""))))),2)</f>
        <v>0</v>
      </c>
      <c r="X12" s="990">
        <f>ROUND(IF(M_kg="t",0,IF(E_vH=0,0,IF(Art=1,(E_vH-3.4)*20+85,IF(Art=2,(E_vH-3.4)*20+85,IF(Art=3,(E_vH-3.4)*20+85,""))))),0)</f>
        <v>0</v>
      </c>
      <c r="Y12" s="885" t="s">
        <v>25</v>
      </c>
      <c r="Z12" s="886" t="s">
        <v>328</v>
      </c>
      <c r="AA12" s="887">
        <f>IF(TMR=1,2.274,3.878)</f>
        <v>2.274</v>
      </c>
      <c r="AB12" s="886" t="s">
        <v>296</v>
      </c>
      <c r="AC12" s="887">
        <f>IF(TMR=1,LG*(0.0173-0.0000514*LaktTag+0.0000000999*LaktTag^2),LG*(0.0148-0.0000474*LaktTag+0.0000000904*LaktTag^2))</f>
        <v>0</v>
      </c>
      <c r="AD12" s="887"/>
      <c r="AE12" s="885"/>
      <c r="AF12" s="885"/>
      <c r="AG12" s="883"/>
      <c r="AH12" s="883"/>
      <c r="AI12" s="883"/>
      <c r="AJ12" s="885"/>
      <c r="AK12" s="1137"/>
      <c r="AL12" s="50"/>
      <c r="AM12" s="509"/>
      <c r="AN12" s="509"/>
      <c r="AO12" s="509"/>
      <c r="AP12" s="509"/>
      <c r="AQ12" s="509"/>
      <c r="AR12" s="509"/>
      <c r="AS12" s="509"/>
      <c r="AT12" s="509"/>
      <c r="AU12" s="509"/>
      <c r="AV12" s="509"/>
      <c r="AW12" s="509"/>
      <c r="AX12" s="509"/>
      <c r="AY12" s="509"/>
      <c r="AZ12" s="509"/>
      <c r="BA12" s="509"/>
      <c r="BB12" s="509"/>
      <c r="BC12" s="509"/>
      <c r="BD12" s="509"/>
      <c r="BE12" s="509"/>
      <c r="BF12" s="509"/>
      <c r="BG12" s="509"/>
      <c r="BH12" s="509"/>
      <c r="BI12" s="509"/>
      <c r="BJ12" s="509"/>
      <c r="BK12" s="509"/>
      <c r="BL12" s="509"/>
      <c r="BM12" s="509"/>
      <c r="BN12" s="509"/>
      <c r="BO12" s="509"/>
      <c r="BP12" s="509"/>
      <c r="BQ12" s="509"/>
      <c r="BR12" s="509"/>
      <c r="BS12" s="509"/>
      <c r="BT12" s="509"/>
      <c r="BU12" s="509"/>
      <c r="BV12" s="509"/>
      <c r="BW12" s="509"/>
      <c r="BX12" s="509"/>
      <c r="BY12" s="509"/>
      <c r="BZ12" s="509"/>
      <c r="CA12" s="509"/>
      <c r="CB12" s="509"/>
      <c r="CC12" s="509"/>
      <c r="CD12" s="509"/>
      <c r="CE12" s="509"/>
      <c r="CF12" s="509"/>
      <c r="CG12" s="509"/>
      <c r="CH12" s="509"/>
      <c r="CI12" s="509"/>
      <c r="CJ12" s="509"/>
      <c r="CK12" s="509"/>
      <c r="CL12" s="509"/>
      <c r="CM12" s="509"/>
      <c r="CN12" s="509"/>
      <c r="CO12" s="509"/>
      <c r="CP12" s="509"/>
      <c r="CQ12" s="509"/>
      <c r="CR12" s="509"/>
      <c r="CS12" s="509"/>
      <c r="CT12" s="509"/>
      <c r="CU12" s="509"/>
      <c r="CV12" s="509"/>
      <c r="CW12" s="509"/>
      <c r="CX12" s="509"/>
      <c r="CY12" s="509"/>
      <c r="CZ12" s="509"/>
      <c r="DA12" s="509"/>
      <c r="DB12" s="509"/>
      <c r="DC12" s="509"/>
      <c r="DD12" s="509"/>
      <c r="DE12" s="509"/>
      <c r="DF12" s="509"/>
      <c r="DG12" s="509"/>
      <c r="DH12" s="509"/>
      <c r="DI12" s="509"/>
      <c r="DJ12" s="509"/>
      <c r="DK12" s="509"/>
      <c r="DL12" s="509"/>
      <c r="DM12" s="509"/>
      <c r="DN12" s="509"/>
      <c r="DO12" s="509"/>
      <c r="DP12" s="509"/>
      <c r="DQ12" s="509"/>
      <c r="DR12" s="509"/>
      <c r="DS12" s="509"/>
      <c r="DT12" s="509"/>
      <c r="DU12" s="509"/>
      <c r="DV12" s="509"/>
      <c r="DW12" s="509"/>
      <c r="DX12" s="509"/>
      <c r="DY12" s="509"/>
      <c r="DZ12" s="509"/>
      <c r="EA12" s="509"/>
      <c r="EB12" s="509"/>
      <c r="EC12" s="509"/>
      <c r="ED12" s="509"/>
      <c r="EE12" s="509"/>
      <c r="EF12" s="509"/>
      <c r="EG12" s="509"/>
      <c r="EH12" s="509"/>
      <c r="EI12" s="509"/>
      <c r="EJ12" s="509"/>
      <c r="EK12" s="509"/>
      <c r="EL12" s="509"/>
      <c r="EM12" s="509"/>
      <c r="EN12" s="509"/>
      <c r="EO12" s="509"/>
      <c r="EP12" s="509"/>
      <c r="EQ12" s="509"/>
      <c r="ER12" s="509"/>
      <c r="ES12" s="509"/>
      <c r="ET12" s="509"/>
      <c r="EU12" s="509"/>
      <c r="EV12" s="509"/>
      <c r="EW12" s="509"/>
      <c r="EX12" s="509"/>
      <c r="EY12" s="509"/>
      <c r="EZ12" s="509"/>
      <c r="FA12" s="509"/>
      <c r="FB12" s="509"/>
      <c r="FC12" s="509"/>
      <c r="FD12" s="509"/>
      <c r="FE12" s="509"/>
      <c r="FF12" s="509"/>
      <c r="FG12" s="509"/>
      <c r="FH12" s="509"/>
      <c r="FI12" s="509"/>
      <c r="FJ12" s="509"/>
      <c r="FK12" s="509"/>
      <c r="FL12" s="509"/>
      <c r="FM12" s="509"/>
      <c r="FN12" s="509"/>
      <c r="FO12" s="509"/>
      <c r="FP12" s="509"/>
      <c r="FQ12" s="509"/>
      <c r="FR12" s="509"/>
      <c r="FS12" s="509"/>
      <c r="FT12" s="509"/>
      <c r="FU12" s="509"/>
      <c r="FV12" s="509"/>
      <c r="FW12" s="509"/>
      <c r="FX12" s="509"/>
      <c r="FY12" s="509"/>
    </row>
    <row r="13" spans="1:181" s="511" customFormat="1" ht="18.75" customHeight="1" x14ac:dyDescent="0.2">
      <c r="A13" s="889"/>
      <c r="B13" s="154"/>
      <c r="C13" s="56" t="s">
        <v>26</v>
      </c>
      <c r="D13" s="157"/>
      <c r="E13" s="157"/>
      <c r="F13" s="156"/>
      <c r="G13" s="154"/>
      <c r="H13" s="908">
        <f ca="1">IF(H11&gt;36000,H11,TODAY()-H11)</f>
        <v>43054</v>
      </c>
      <c r="I13" s="883"/>
      <c r="J13" s="885"/>
      <c r="K13" s="909"/>
      <c r="L13" s="909"/>
      <c r="M13" s="910"/>
      <c r="N13" s="910"/>
      <c r="O13" s="910"/>
      <c r="P13" s="910"/>
      <c r="Q13" s="910"/>
      <c r="R13" s="910"/>
      <c r="S13" s="910"/>
      <c r="T13" s="910"/>
      <c r="U13" s="907"/>
      <c r="V13" s="907"/>
      <c r="W13" s="991">
        <f>ROUND(IF(Art=1,IF(M_kg="t",13,M_kg*W12),IF(Art=2,IF(M_kg="t",7,M_kg*W12),IF(Art=3,IF(M_kg="t",3.8,M_kg*W12),""))),1)</f>
        <v>0</v>
      </c>
      <c r="X13" s="992">
        <f>ROUND(IF(Art=1,IF(M_kg="t",675,M_kg*X12),IF(Art=2,IF(M_kg="t",7,M_kg*X12),IF(Art=3,IF(M_kg="t",3.8,M_kg*X12),""))),0)</f>
        <v>0</v>
      </c>
      <c r="Y13" s="883"/>
      <c r="Z13" s="886" t="s">
        <v>329</v>
      </c>
      <c r="AA13" s="887">
        <f>IF(TMR=1,IF(Rasse=1,-1.449,IF(Rasse=2,-2.169,-1.391)),IF(Rasse=1,-2.194,IF(Rasse=2,-2.631,-1.826)))</f>
        <v>-2.169</v>
      </c>
      <c r="AB13" s="886" t="s">
        <v>331</v>
      </c>
      <c r="AC13" s="887">
        <f>IF(M_kg="t",0,IF(TMR=1,(1.05+0.38*F_vH+0.21*E_vH)/3.28*M_kg*(0.201+0.000808*LaktTag-0.000001299*LaktTag^2),(1.05+0.38*F_vH+0.21*E_vH)/3.28*M_kg*(0.0825+0.0008098*LaktTag-0.00000096*LaktTag^2)))</f>
        <v>0</v>
      </c>
      <c r="AD13" s="887"/>
      <c r="AE13" s="883"/>
      <c r="AF13" s="883"/>
      <c r="AG13" s="883"/>
      <c r="AH13" s="883"/>
      <c r="AI13" s="883"/>
      <c r="AJ13" s="883"/>
      <c r="AK13" s="1133"/>
      <c r="AL13" s="50"/>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509"/>
      <c r="DQ13" s="509"/>
      <c r="DR13" s="509"/>
      <c r="DS13" s="509"/>
      <c r="DT13" s="509"/>
      <c r="DU13" s="509"/>
      <c r="DV13" s="509"/>
      <c r="DW13" s="509"/>
      <c r="DX13" s="509"/>
      <c r="DY13" s="509"/>
      <c r="DZ13" s="509"/>
      <c r="EA13" s="509"/>
      <c r="EB13" s="509"/>
      <c r="EC13" s="509"/>
      <c r="ED13" s="509"/>
      <c r="EE13" s="509"/>
      <c r="EF13" s="509"/>
      <c r="EG13" s="509"/>
      <c r="EH13" s="509"/>
      <c r="EI13" s="509"/>
      <c r="EJ13" s="509"/>
      <c r="EK13" s="509"/>
      <c r="EL13" s="509"/>
      <c r="EM13" s="509"/>
      <c r="EN13" s="509"/>
      <c r="EO13" s="509"/>
      <c r="EP13" s="509"/>
      <c r="EQ13" s="509"/>
      <c r="ER13" s="509"/>
      <c r="ES13" s="509"/>
      <c r="ET13" s="509"/>
      <c r="EU13" s="509"/>
      <c r="EV13" s="509"/>
      <c r="EW13" s="509"/>
      <c r="EX13" s="509"/>
      <c r="EY13" s="509"/>
      <c r="EZ13" s="509"/>
      <c r="FA13" s="509"/>
      <c r="FB13" s="509"/>
      <c r="FC13" s="509"/>
      <c r="FD13" s="509"/>
      <c r="FE13" s="509"/>
      <c r="FF13" s="509"/>
      <c r="FG13" s="509"/>
      <c r="FH13" s="509"/>
      <c r="FI13" s="509"/>
      <c r="FJ13" s="509"/>
      <c r="FK13" s="509"/>
      <c r="FL13" s="509"/>
      <c r="FM13" s="509"/>
      <c r="FN13" s="509"/>
      <c r="FO13" s="509"/>
      <c r="FP13" s="509"/>
      <c r="FQ13" s="509"/>
      <c r="FR13" s="509"/>
      <c r="FS13" s="509"/>
      <c r="FT13" s="509"/>
      <c r="FU13" s="509"/>
      <c r="FV13" s="509"/>
      <c r="FW13" s="509"/>
      <c r="FX13" s="509"/>
      <c r="FY13" s="509"/>
    </row>
    <row r="14" spans="1:181" s="511" customFormat="1" ht="18.75" customHeight="1" thickBot="1" x14ac:dyDescent="0.25">
      <c r="A14" s="889"/>
      <c r="B14" s="154"/>
      <c r="C14" s="32" t="s">
        <v>27</v>
      </c>
      <c r="D14" s="153"/>
      <c r="E14" s="153"/>
      <c r="F14" s="156"/>
      <c r="G14" s="156"/>
      <c r="H14" s="883"/>
      <c r="I14" s="883"/>
      <c r="J14" s="911" t="str">
        <f>IF(Art=1,"650 kg LG, BCS 3,5 -&gt; 37,7 MJ NEL, 450 g nXP","")</f>
        <v>650 kg LG, BCS 3,5 -&gt; 37,7 MJ NEL, 450 g nXP</v>
      </c>
      <c r="K14" s="883"/>
      <c r="L14" s="883"/>
      <c r="M14" s="907"/>
      <c r="N14" s="907"/>
      <c r="O14" s="907"/>
      <c r="P14" s="907"/>
      <c r="Q14" s="907"/>
      <c r="R14" s="907"/>
      <c r="S14" s="907"/>
      <c r="T14" s="907"/>
      <c r="U14" s="907"/>
      <c r="V14" s="907"/>
      <c r="W14" s="984">
        <f>ROUND(IF(LG=0,0,IF(Art=1,LG^0.75*0.293,IF(Art=2,LG^0.75*0.43,IF(Art=3,LG^0.75*0.43,"")))),1)</f>
        <v>0</v>
      </c>
      <c r="X14" s="988">
        <f>ROUND(IF(LG=0,0,IF(Art=1,190+LG*0.4,IF(Art=2,LG^0.75*3+15,IF(Art=3,LG^0.75*3.25,"")))),0)</f>
        <v>0</v>
      </c>
      <c r="Y14" s="883"/>
      <c r="Z14" s="886" t="s">
        <v>72</v>
      </c>
      <c r="AA14" s="887">
        <f>IF(TMR=1,IF(LakNr=1,-0.658,0.236),IF(LakNr=1,-0.728,0.218))</f>
        <v>0.23599999999999999</v>
      </c>
      <c r="AB14" s="886" t="s">
        <v>332</v>
      </c>
      <c r="AC14" s="887" t="e">
        <f>IF(TMR=1,SUM(V29:V32,V37:V38)/TS*100*(0.0631-0.0002096*LaktTag+0.0000001213*LaktTag^2),SUM(V29:V32,V37:V38)*(0.6962-0.0023289*LaktTag+0.0000040634*LaktTag^2))</f>
        <v>#DIV/0!</v>
      </c>
      <c r="AD14" s="887"/>
      <c r="AE14" s="883"/>
      <c r="AF14" s="883"/>
      <c r="AG14" s="883"/>
      <c r="AH14" s="883"/>
      <c r="AI14" s="883"/>
      <c r="AJ14" s="883"/>
      <c r="AK14" s="1133"/>
      <c r="AL14" s="50"/>
      <c r="AM14" s="509"/>
      <c r="AN14" s="509"/>
      <c r="AO14" s="509"/>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09"/>
      <c r="BM14" s="509"/>
      <c r="BN14" s="509"/>
      <c r="BO14" s="509"/>
      <c r="BP14" s="509"/>
      <c r="BQ14" s="509"/>
      <c r="BR14" s="509"/>
      <c r="BS14" s="509"/>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c r="DO14" s="509"/>
      <c r="DP14" s="509"/>
      <c r="DQ14" s="509"/>
      <c r="DR14" s="509"/>
      <c r="DS14" s="509"/>
      <c r="DT14" s="509"/>
      <c r="DU14" s="509"/>
      <c r="DV14" s="509"/>
      <c r="DW14" s="509"/>
      <c r="DX14" s="509"/>
      <c r="DY14" s="509"/>
      <c r="DZ14" s="509"/>
      <c r="EA14" s="509"/>
      <c r="EB14" s="509"/>
      <c r="EC14" s="509"/>
      <c r="ED14" s="509"/>
      <c r="EE14" s="509"/>
      <c r="EF14" s="509"/>
      <c r="EG14" s="509"/>
      <c r="EH14" s="509"/>
      <c r="EI14" s="509"/>
      <c r="EJ14" s="509"/>
      <c r="EK14" s="509"/>
      <c r="EL14" s="509"/>
      <c r="EM14" s="509"/>
      <c r="EN14" s="509"/>
      <c r="EO14" s="509"/>
      <c r="EP14" s="509"/>
      <c r="EQ14" s="509"/>
      <c r="ER14" s="509"/>
      <c r="ES14" s="509"/>
      <c r="ET14" s="509"/>
      <c r="EU14" s="509"/>
      <c r="EV14" s="509"/>
      <c r="EW14" s="509"/>
      <c r="EX14" s="509"/>
      <c r="EY14" s="509"/>
      <c r="EZ14" s="509"/>
      <c r="FA14" s="509"/>
      <c r="FB14" s="509"/>
      <c r="FC14" s="509"/>
      <c r="FD14" s="509"/>
      <c r="FE14" s="509"/>
      <c r="FF14" s="509"/>
      <c r="FG14" s="509"/>
      <c r="FH14" s="509"/>
      <c r="FI14" s="509"/>
      <c r="FJ14" s="509"/>
      <c r="FK14" s="509"/>
      <c r="FL14" s="509"/>
      <c r="FM14" s="509"/>
      <c r="FN14" s="509"/>
      <c r="FO14" s="509"/>
      <c r="FP14" s="509"/>
      <c r="FQ14" s="509"/>
      <c r="FR14" s="509"/>
      <c r="FS14" s="509"/>
      <c r="FT14" s="509"/>
      <c r="FU14" s="509"/>
      <c r="FV14" s="509"/>
      <c r="FW14" s="509"/>
      <c r="FX14" s="509"/>
      <c r="FY14" s="509"/>
    </row>
    <row r="15" spans="1:181" s="511" customFormat="1" ht="18.75" customHeight="1" thickBot="1" x14ac:dyDescent="0.25">
      <c r="A15" s="950"/>
      <c r="B15" s="154"/>
      <c r="C15" s="45"/>
      <c r="D15" s="156"/>
      <c r="E15" s="156"/>
      <c r="F15" s="156"/>
      <c r="G15" s="156"/>
      <c r="H15" s="883"/>
      <c r="I15" s="883"/>
      <c r="J15" s="883"/>
      <c r="K15" s="883"/>
      <c r="L15" s="883"/>
      <c r="M15" s="907"/>
      <c r="N15" s="907"/>
      <c r="O15" s="907"/>
      <c r="P15" s="907"/>
      <c r="Q15" s="907"/>
      <c r="R15" s="907"/>
      <c r="S15" s="907"/>
      <c r="T15" s="907"/>
      <c r="U15" s="907"/>
      <c r="V15" s="994" t="str">
        <f>IF(OR(LakNr="",LaktTag="",LG="",M_kg=""),"Daten?",IF(Art=1,IF(M_kg="t",4*NEL_kg-11,AA12+AA13+AA14+AA15+AC12+AC13+AC14+AC15),IF(Art=2,0.9+(LG*0.01)+(IF(M_kg="t",0,M_kg-1)*0.4),IF(Art=3,0.9+(LG*0.01)+(IF(M_kg="t",0,M_kg-1)*0.4),""))))</f>
        <v>Daten?</v>
      </c>
      <c r="W15" s="993">
        <f>W13+W14</f>
        <v>0</v>
      </c>
      <c r="X15" s="990">
        <f>X13+X14</f>
        <v>0</v>
      </c>
      <c r="Y15" s="883"/>
      <c r="Z15" s="886" t="s">
        <v>330</v>
      </c>
      <c r="AA15" s="887">
        <f>IF(TMR=1,-5.445+5.298*(1-EXP(-0.01838*LaktTag)),-4.287+4.153*(1-EXP(-0.01486*LaktTag)))</f>
        <v>-5.4450000000000003</v>
      </c>
      <c r="AB15" s="886" t="s">
        <v>333</v>
      </c>
      <c r="AC15" s="887" t="str">
        <f>IF(TM_GF=0,"",IF(TMR=1,0.609*MJ_GF/TM_GF,0.858*MJ_GF/TM_GF))</f>
        <v/>
      </c>
      <c r="AD15" s="887"/>
      <c r="AE15" s="883"/>
      <c r="AF15" s="883"/>
      <c r="AG15" s="883"/>
      <c r="AH15" s="883"/>
      <c r="AI15" s="883"/>
      <c r="AJ15" s="883"/>
      <c r="AK15" s="1138"/>
      <c r="AL15" s="50"/>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509"/>
      <c r="DE15" s="509"/>
      <c r="DF15" s="509"/>
      <c r="DG15" s="509"/>
      <c r="DH15" s="509"/>
      <c r="DI15" s="509"/>
      <c r="DJ15" s="509"/>
      <c r="DK15" s="509"/>
      <c r="DL15" s="509"/>
      <c r="DM15" s="509"/>
      <c r="DN15" s="509"/>
      <c r="DO15" s="509"/>
      <c r="DP15" s="509"/>
      <c r="DQ15" s="509"/>
      <c r="DR15" s="509"/>
      <c r="DS15" s="509"/>
      <c r="DT15" s="509"/>
      <c r="DU15" s="509"/>
      <c r="DV15" s="509"/>
      <c r="DW15" s="509"/>
      <c r="DX15" s="509"/>
      <c r="DY15" s="509"/>
      <c r="DZ15" s="509"/>
      <c r="EA15" s="509"/>
      <c r="EB15" s="509"/>
      <c r="EC15" s="509"/>
      <c r="ED15" s="509"/>
      <c r="EE15" s="509"/>
      <c r="EF15" s="509"/>
      <c r="EG15" s="509"/>
      <c r="EH15" s="509"/>
      <c r="EI15" s="509"/>
      <c r="EJ15" s="509"/>
      <c r="EK15" s="509"/>
      <c r="EL15" s="509"/>
      <c r="EM15" s="509"/>
      <c r="EN15" s="509"/>
      <c r="EO15" s="509"/>
      <c r="EP15" s="509"/>
      <c r="EQ15" s="509"/>
      <c r="ER15" s="509"/>
      <c r="ES15" s="509"/>
      <c r="ET15" s="509"/>
      <c r="EU15" s="509"/>
      <c r="EV15" s="509"/>
      <c r="EW15" s="509"/>
      <c r="EX15" s="509"/>
      <c r="EY15" s="509"/>
      <c r="EZ15" s="509"/>
      <c r="FA15" s="509"/>
      <c r="FB15" s="509"/>
      <c r="FC15" s="509"/>
      <c r="FD15" s="509"/>
      <c r="FE15" s="509"/>
      <c r="FF15" s="509"/>
      <c r="FG15" s="509"/>
      <c r="FH15" s="509"/>
      <c r="FI15" s="509"/>
      <c r="FJ15" s="509"/>
      <c r="FK15" s="509"/>
      <c r="FL15" s="509"/>
      <c r="FM15" s="509"/>
      <c r="FN15" s="509"/>
      <c r="FO15" s="509"/>
      <c r="FP15" s="509"/>
      <c r="FQ15" s="509"/>
      <c r="FR15" s="509"/>
      <c r="FS15" s="509"/>
      <c r="FT15" s="509"/>
      <c r="FU15" s="509"/>
      <c r="FV15" s="509"/>
      <c r="FW15" s="509"/>
      <c r="FX15" s="509"/>
      <c r="FY15" s="509"/>
    </row>
    <row r="16" spans="1:181" s="892" customFormat="1" ht="4.5" customHeight="1" thickBot="1" x14ac:dyDescent="0.25">
      <c r="A16" s="889"/>
      <c r="B16" s="890"/>
      <c r="C16" s="890"/>
      <c r="D16" s="890"/>
      <c r="E16" s="890"/>
      <c r="F16" s="890"/>
      <c r="G16" s="890"/>
      <c r="H16" s="883"/>
      <c r="I16" s="890"/>
      <c r="J16" s="890"/>
      <c r="K16" s="883"/>
      <c r="L16" s="883"/>
      <c r="M16" s="883"/>
      <c r="N16" s="890"/>
      <c r="O16" s="890"/>
      <c r="P16" s="890"/>
      <c r="Q16" s="890"/>
      <c r="R16" s="890"/>
      <c r="S16" s="883"/>
      <c r="T16" s="883"/>
      <c r="U16" s="883"/>
      <c r="V16" s="883"/>
      <c r="W16" s="883"/>
      <c r="X16" s="891"/>
      <c r="Y16" s="888"/>
      <c r="Z16" s="888"/>
      <c r="AA16" s="888"/>
      <c r="AB16" s="883"/>
      <c r="AC16" s="888"/>
      <c r="AD16" s="888"/>
      <c r="AE16" s="888"/>
      <c r="AF16" s="888"/>
      <c r="AG16" s="888"/>
      <c r="AH16" s="888"/>
      <c r="AI16" s="883"/>
      <c r="AJ16" s="883"/>
      <c r="AK16" s="1133"/>
      <c r="AM16" s="509"/>
      <c r="AN16" s="509"/>
      <c r="AO16" s="509"/>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09"/>
      <c r="BM16" s="509"/>
      <c r="BN16" s="509"/>
      <c r="BO16" s="509"/>
      <c r="BP16" s="509"/>
      <c r="BQ16" s="509"/>
      <c r="BR16" s="509"/>
      <c r="BS16" s="509"/>
      <c r="BT16" s="509"/>
      <c r="BU16" s="509"/>
      <c r="BV16" s="509"/>
      <c r="BW16" s="509"/>
      <c r="BX16" s="509"/>
      <c r="BY16" s="509"/>
      <c r="BZ16" s="509"/>
      <c r="CA16" s="509"/>
      <c r="CB16" s="509"/>
      <c r="CC16" s="509"/>
      <c r="CD16" s="509"/>
      <c r="CE16" s="509"/>
      <c r="CF16" s="509"/>
      <c r="CG16" s="509"/>
      <c r="CH16" s="509"/>
      <c r="CI16" s="509"/>
      <c r="CJ16" s="509"/>
      <c r="CK16" s="509"/>
      <c r="CL16" s="509"/>
      <c r="CM16" s="509"/>
      <c r="CN16" s="509"/>
      <c r="CO16" s="509"/>
      <c r="CP16" s="509"/>
      <c r="CQ16" s="509"/>
      <c r="CR16" s="509"/>
      <c r="CS16" s="509"/>
      <c r="CT16" s="509"/>
      <c r="CU16" s="509"/>
      <c r="CV16" s="509"/>
      <c r="CW16" s="509"/>
      <c r="CX16" s="509"/>
      <c r="CY16" s="509"/>
      <c r="CZ16" s="509"/>
      <c r="DA16" s="509"/>
      <c r="DB16" s="509"/>
      <c r="DC16" s="509"/>
      <c r="DD16" s="509"/>
      <c r="DE16" s="509"/>
      <c r="DF16" s="509"/>
      <c r="DG16" s="509"/>
      <c r="DH16" s="509"/>
      <c r="DI16" s="509"/>
      <c r="DJ16" s="509"/>
      <c r="DK16" s="509"/>
      <c r="DL16" s="509"/>
      <c r="DM16" s="509"/>
      <c r="DN16" s="509"/>
      <c r="DO16" s="509"/>
      <c r="DP16" s="509"/>
      <c r="DQ16" s="509"/>
      <c r="DR16" s="509"/>
      <c r="DS16" s="509"/>
      <c r="DT16" s="509"/>
      <c r="DU16" s="509"/>
      <c r="DV16" s="509"/>
      <c r="DW16" s="509"/>
      <c r="DX16" s="509"/>
      <c r="DY16" s="509"/>
      <c r="DZ16" s="509"/>
      <c r="EA16" s="509"/>
      <c r="EB16" s="509"/>
      <c r="EC16" s="509"/>
      <c r="ED16" s="509"/>
      <c r="EE16" s="509"/>
      <c r="EF16" s="509"/>
      <c r="EG16" s="509"/>
      <c r="EH16" s="509"/>
      <c r="EI16" s="509"/>
      <c r="EJ16" s="509"/>
      <c r="EK16" s="509"/>
      <c r="EL16" s="509"/>
      <c r="EM16" s="509"/>
      <c r="EN16" s="509"/>
      <c r="EO16" s="509"/>
      <c r="EP16" s="509"/>
      <c r="EQ16" s="509"/>
      <c r="ER16" s="509"/>
      <c r="ES16" s="509"/>
      <c r="ET16" s="509"/>
      <c r="EU16" s="509"/>
      <c r="EV16" s="509"/>
      <c r="EW16" s="509"/>
      <c r="EX16" s="509"/>
      <c r="EY16" s="509"/>
      <c r="EZ16" s="509"/>
      <c r="FA16" s="509"/>
      <c r="FB16" s="509"/>
      <c r="FC16" s="509"/>
      <c r="FD16" s="509"/>
      <c r="FE16" s="509"/>
      <c r="FF16" s="509"/>
      <c r="FG16" s="509"/>
      <c r="FH16" s="509"/>
      <c r="FI16" s="509"/>
      <c r="FJ16" s="509"/>
      <c r="FK16" s="509"/>
      <c r="FL16" s="509"/>
      <c r="FM16" s="509"/>
      <c r="FN16" s="509"/>
      <c r="FO16" s="509"/>
      <c r="FP16" s="509"/>
      <c r="FQ16" s="509"/>
      <c r="FR16" s="509"/>
      <c r="FS16" s="509"/>
      <c r="FT16" s="509"/>
      <c r="FU16" s="509"/>
      <c r="FV16" s="509"/>
      <c r="FW16" s="509"/>
      <c r="FX16" s="509"/>
      <c r="FY16" s="509"/>
    </row>
    <row r="17" spans="1:181" s="511" customFormat="1" ht="24" customHeight="1" thickBot="1" x14ac:dyDescent="0.25">
      <c r="A17" s="947"/>
      <c r="B17" s="154"/>
      <c r="C17" s="45" t="s">
        <v>29</v>
      </c>
      <c r="D17" s="156"/>
      <c r="E17" s="156"/>
      <c r="F17" s="156"/>
      <c r="G17" s="156"/>
      <c r="H17" s="1040" t="s">
        <v>263</v>
      </c>
      <c r="I17" s="995"/>
      <c r="J17" s="995"/>
      <c r="K17" s="995"/>
      <c r="L17" s="996"/>
      <c r="M17" s="996"/>
      <c r="N17" s="995"/>
      <c r="O17" s="995"/>
      <c r="P17" s="995"/>
      <c r="Q17" s="995"/>
      <c r="R17" s="995"/>
      <c r="S17" s="995"/>
      <c r="T17" s="995"/>
      <c r="U17" s="1491" t="s">
        <v>30</v>
      </c>
      <c r="V17" s="1492"/>
      <c r="W17" s="1492"/>
      <c r="X17" s="1492"/>
      <c r="Y17" s="1492"/>
      <c r="Z17" s="1492"/>
      <c r="AA17" s="1492"/>
      <c r="AB17" s="1492"/>
      <c r="AC17" s="1492"/>
      <c r="AD17" s="1492"/>
      <c r="AE17" s="1492"/>
      <c r="AF17" s="1492"/>
      <c r="AG17" s="1492"/>
      <c r="AH17" s="1493"/>
      <c r="AI17" s="1404" t="s">
        <v>457</v>
      </c>
      <c r="AJ17" s="1084" t="s">
        <v>383</v>
      </c>
      <c r="AK17" s="1135"/>
      <c r="AL17" s="57"/>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509"/>
      <c r="DD17" s="509"/>
      <c r="DE17" s="509"/>
      <c r="DF17" s="509"/>
      <c r="DG17" s="509"/>
      <c r="DH17" s="509"/>
      <c r="DI17" s="509"/>
      <c r="DJ17" s="509"/>
      <c r="DK17" s="509"/>
      <c r="DL17" s="509"/>
      <c r="DM17" s="509"/>
      <c r="DN17" s="509"/>
      <c r="DO17" s="509"/>
      <c r="DP17" s="509"/>
      <c r="DQ17" s="509"/>
      <c r="DR17" s="509"/>
      <c r="DS17" s="509"/>
      <c r="DT17" s="509"/>
      <c r="DU17" s="509"/>
      <c r="DV17" s="509"/>
      <c r="DW17" s="509"/>
      <c r="DX17" s="509"/>
      <c r="DY17" s="509"/>
      <c r="DZ17" s="509"/>
      <c r="EA17" s="509"/>
      <c r="EB17" s="509"/>
      <c r="EC17" s="509"/>
      <c r="ED17" s="509"/>
      <c r="EE17" s="509"/>
      <c r="EF17" s="509"/>
      <c r="EG17" s="509"/>
      <c r="EH17" s="509"/>
      <c r="EI17" s="509"/>
      <c r="EJ17" s="509"/>
      <c r="EK17" s="509"/>
      <c r="EL17" s="509"/>
      <c r="EM17" s="509"/>
      <c r="EN17" s="509"/>
      <c r="EO17" s="509"/>
      <c r="EP17" s="509"/>
      <c r="EQ17" s="509"/>
      <c r="ER17" s="509"/>
      <c r="ES17" s="509"/>
      <c r="ET17" s="509"/>
      <c r="EU17" s="509"/>
      <c r="EV17" s="509"/>
      <c r="EW17" s="509"/>
      <c r="EX17" s="509"/>
      <c r="EY17" s="509"/>
      <c r="EZ17" s="509"/>
      <c r="FA17" s="509"/>
      <c r="FB17" s="509"/>
      <c r="FC17" s="509"/>
      <c r="FD17" s="509"/>
      <c r="FE17" s="509"/>
      <c r="FF17" s="509"/>
      <c r="FG17" s="509"/>
      <c r="FH17" s="509"/>
      <c r="FI17" s="509"/>
      <c r="FJ17" s="509"/>
      <c r="FK17" s="509"/>
      <c r="FL17" s="509"/>
      <c r="FM17" s="509"/>
      <c r="FN17" s="509"/>
      <c r="FO17" s="509"/>
      <c r="FP17" s="509"/>
      <c r="FQ17" s="509"/>
      <c r="FR17" s="509"/>
      <c r="FS17" s="509"/>
      <c r="FT17" s="509"/>
      <c r="FU17" s="509"/>
      <c r="FV17" s="509"/>
      <c r="FW17" s="509"/>
      <c r="FX17" s="509"/>
      <c r="FY17" s="509"/>
    </row>
    <row r="18" spans="1:181" s="511" customFormat="1" ht="18.75" customHeight="1" thickBot="1" x14ac:dyDescent="0.25">
      <c r="A18" s="951"/>
      <c r="B18" s="1050" t="str">
        <f>IF(TM_FM=1,"TM",IF(TM_FM=2,"FM",""))</f>
        <v>TM</v>
      </c>
      <c r="C18" s="82"/>
      <c r="D18" s="169"/>
      <c r="E18" s="169"/>
      <c r="F18" s="169"/>
      <c r="G18" s="1041" t="s">
        <v>12</v>
      </c>
      <c r="H18" s="1041" t="str">
        <f>IF($C$3=1,"NEL","ME")</f>
        <v>NEL</v>
      </c>
      <c r="I18" s="997" t="str">
        <f>IF($C$3=1,"nXP","XP")</f>
        <v>nXP</v>
      </c>
      <c r="J18" s="997" t="str">
        <f>IF($C$3=1,"RNB","")</f>
        <v>RNB</v>
      </c>
      <c r="K18" s="998" t="str">
        <f>INDEX(Tabelle_Kopf,4,12)</f>
        <v>NFC</v>
      </c>
      <c r="L18" s="997" t="str">
        <f>IF(Art=1,"SW","")</f>
        <v>SW</v>
      </c>
      <c r="M18" s="998" t="str">
        <f>INDEX(Tabelle_Kopf,4,10)</f>
        <v>ADF</v>
      </c>
      <c r="N18" s="998" t="str">
        <f>INDEX(Tabelle_Kopf,4,11)</f>
        <v>NDF</v>
      </c>
      <c r="O18" s="998" t="str">
        <f>INDEX(Tabelle_Kopf,4,13)</f>
        <v>XS</v>
      </c>
      <c r="P18" s="998" t="str">
        <f>INDEX(Tabelle_Kopf,4,14)</f>
        <v>XZ</v>
      </c>
      <c r="Q18" s="998" t="str">
        <f>INDEX(Tabelle_Kopf,4,15)</f>
        <v>XL</v>
      </c>
      <c r="R18" s="998" t="str">
        <f>INDEX(Tabelle_Kopf,4,16)</f>
        <v>XF</v>
      </c>
      <c r="S18" s="998" t="str">
        <f>INDEX(Tabelle_Kopf,4,17)</f>
        <v>sXF</v>
      </c>
      <c r="T18" s="1380" t="s">
        <v>457</v>
      </c>
      <c r="U18" s="999" t="s">
        <v>168</v>
      </c>
      <c r="V18" s="1096" t="s">
        <v>166</v>
      </c>
      <c r="W18" s="1001" t="str">
        <f t="shared" ref="W18:AB18" si="1">+H18</f>
        <v>NEL</v>
      </c>
      <c r="X18" s="1000" t="str">
        <f t="shared" si="1"/>
        <v>nXP</v>
      </c>
      <c r="Y18" s="1000" t="str">
        <f t="shared" si="1"/>
        <v>RNB</v>
      </c>
      <c r="Z18" s="1000" t="str">
        <f t="shared" si="1"/>
        <v>NFC</v>
      </c>
      <c r="AA18" s="1001" t="str">
        <f t="shared" si="1"/>
        <v>SW</v>
      </c>
      <c r="AB18" s="1001" t="str">
        <f t="shared" si="1"/>
        <v>ADF</v>
      </c>
      <c r="AC18" s="1000" t="s">
        <v>22</v>
      </c>
      <c r="AD18" s="1002" t="str">
        <f>+O18</f>
        <v>XS</v>
      </c>
      <c r="AE18" s="1002" t="str">
        <f>+P18</f>
        <v>XZ</v>
      </c>
      <c r="AF18" s="1003" t="str">
        <f>+Q18</f>
        <v>XL</v>
      </c>
      <c r="AG18" s="1003" t="str">
        <f>+R18</f>
        <v>XF</v>
      </c>
      <c r="AH18" s="1004" t="str">
        <f>+S18</f>
        <v>sXF</v>
      </c>
      <c r="AI18" s="1401"/>
      <c r="AJ18" s="1005" t="s">
        <v>168</v>
      </c>
      <c r="AK18" s="1139"/>
      <c r="AL18" s="50"/>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509"/>
      <c r="CI18" s="509"/>
      <c r="CJ18" s="509"/>
      <c r="CK18" s="509"/>
      <c r="CL18" s="509"/>
      <c r="CM18" s="509"/>
      <c r="CN18" s="509"/>
      <c r="CO18" s="509"/>
      <c r="CP18" s="509"/>
      <c r="CQ18" s="509"/>
      <c r="CR18" s="509"/>
      <c r="CS18" s="509"/>
      <c r="CT18" s="509"/>
      <c r="CU18" s="509"/>
      <c r="CV18" s="509"/>
      <c r="CW18" s="509"/>
      <c r="CX18" s="509"/>
      <c r="CY18" s="509"/>
      <c r="CZ18" s="509"/>
      <c r="DA18" s="509"/>
      <c r="DB18" s="509"/>
      <c r="DC18" s="509"/>
      <c r="DD18" s="509"/>
      <c r="DE18" s="509"/>
      <c r="DF18" s="509"/>
      <c r="DG18" s="509"/>
      <c r="DH18" s="509"/>
      <c r="DI18" s="509"/>
      <c r="DJ18" s="509"/>
      <c r="DK18" s="509"/>
      <c r="DL18" s="509"/>
      <c r="DM18" s="509"/>
      <c r="DN18" s="509"/>
      <c r="DO18" s="509"/>
      <c r="DP18" s="509"/>
      <c r="DQ18" s="509"/>
      <c r="DR18" s="509"/>
      <c r="DS18" s="509"/>
      <c r="DT18" s="509"/>
      <c r="DU18" s="509"/>
      <c r="DV18" s="509"/>
      <c r="DW18" s="509"/>
      <c r="DX18" s="509"/>
      <c r="DY18" s="509"/>
      <c r="DZ18" s="509"/>
      <c r="EA18" s="509"/>
      <c r="EB18" s="509"/>
      <c r="EC18" s="509"/>
      <c r="ED18" s="509"/>
      <c r="EE18" s="509"/>
      <c r="EF18" s="509"/>
      <c r="EG18" s="509"/>
      <c r="EH18" s="509"/>
      <c r="EI18" s="509"/>
      <c r="EJ18" s="509"/>
      <c r="EK18" s="509"/>
      <c r="EL18" s="509"/>
      <c r="EM18" s="509"/>
      <c r="EN18" s="509"/>
      <c r="EO18" s="509"/>
      <c r="EP18" s="509"/>
      <c r="EQ18" s="509"/>
      <c r="ER18" s="509"/>
      <c r="ES18" s="509"/>
      <c r="ET18" s="509"/>
      <c r="EU18" s="509"/>
      <c r="EV18" s="509"/>
      <c r="EW18" s="509"/>
      <c r="EX18" s="509"/>
      <c r="EY18" s="509"/>
      <c r="EZ18" s="509"/>
      <c r="FA18" s="509"/>
      <c r="FB18" s="509"/>
      <c r="FC18" s="509"/>
      <c r="FD18" s="509"/>
      <c r="FE18" s="509"/>
      <c r="FF18" s="509"/>
      <c r="FG18" s="509"/>
      <c r="FH18" s="509"/>
      <c r="FI18" s="509"/>
      <c r="FJ18" s="509"/>
      <c r="FK18" s="509"/>
      <c r="FL18" s="509"/>
      <c r="FM18" s="509"/>
      <c r="FN18" s="509"/>
      <c r="FO18" s="509"/>
      <c r="FP18" s="509"/>
      <c r="FQ18" s="509"/>
      <c r="FR18" s="509"/>
      <c r="FS18" s="509"/>
      <c r="FT18" s="509"/>
      <c r="FU18" s="509"/>
      <c r="FV18" s="509"/>
      <c r="FW18" s="509"/>
      <c r="FX18" s="509"/>
      <c r="FY18" s="509"/>
    </row>
    <row r="19" spans="1:181" s="511" customFormat="1" ht="18.75" customHeight="1" thickBot="1" x14ac:dyDescent="0.25">
      <c r="A19" s="948"/>
      <c r="B19" s="1051" t="s">
        <v>9</v>
      </c>
      <c r="C19" s="112"/>
      <c r="D19" s="1052" t="s">
        <v>146</v>
      </c>
      <c r="E19" s="113"/>
      <c r="F19" s="1049"/>
      <c r="G19" s="1042" t="s">
        <v>11</v>
      </c>
      <c r="H19" s="1042" t="s">
        <v>23</v>
      </c>
      <c r="I19" s="1006" t="s">
        <v>24</v>
      </c>
      <c r="J19" s="1006" t="str">
        <f>IF(J18="","","g")</f>
        <v>g</v>
      </c>
      <c r="K19" s="1006" t="s">
        <v>24</v>
      </c>
      <c r="L19" s="1006"/>
      <c r="M19" s="1007" t="str">
        <f>IF(M18="","","g")</f>
        <v>g</v>
      </c>
      <c r="N19" s="985" t="s">
        <v>24</v>
      </c>
      <c r="O19" s="985" t="s">
        <v>24</v>
      </c>
      <c r="P19" s="1006" t="s">
        <v>24</v>
      </c>
      <c r="Q19" s="1006" t="s">
        <v>24</v>
      </c>
      <c r="R19" s="1006" t="s">
        <v>24</v>
      </c>
      <c r="S19" s="1006" t="s">
        <v>24</v>
      </c>
      <c r="T19" s="1007" t="s">
        <v>458</v>
      </c>
      <c r="U19" s="984" t="s">
        <v>9</v>
      </c>
      <c r="V19" s="1097" t="s">
        <v>9</v>
      </c>
      <c r="W19" s="1008" t="s">
        <v>23</v>
      </c>
      <c r="X19" s="985" t="s">
        <v>24</v>
      </c>
      <c r="Y19" s="985" t="str">
        <f>J19</f>
        <v>g</v>
      </c>
      <c r="Z19" s="985" t="s">
        <v>24</v>
      </c>
      <c r="AA19" s="1008"/>
      <c r="AB19" s="1008" t="s">
        <v>24</v>
      </c>
      <c r="AC19" s="985" t="s">
        <v>24</v>
      </c>
      <c r="AD19" s="1008" t="s">
        <v>24</v>
      </c>
      <c r="AE19" s="1008" t="s">
        <v>24</v>
      </c>
      <c r="AF19" s="985" t="s">
        <v>24</v>
      </c>
      <c r="AG19" s="985" t="s">
        <v>24</v>
      </c>
      <c r="AH19" s="1009" t="s">
        <v>24</v>
      </c>
      <c r="AI19" s="1051" t="s">
        <v>460</v>
      </c>
      <c r="AJ19" s="1010" t="s">
        <v>9</v>
      </c>
      <c r="AK19" s="1136"/>
      <c r="AL19" s="50"/>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509"/>
      <c r="DE19" s="509"/>
      <c r="DF19" s="509"/>
      <c r="DG19" s="509"/>
      <c r="DH19" s="509"/>
      <c r="DI19" s="509"/>
      <c r="DJ19" s="509"/>
      <c r="DK19" s="509"/>
      <c r="DL19" s="509"/>
      <c r="DM19" s="509"/>
      <c r="DN19" s="509"/>
      <c r="DO19" s="509"/>
      <c r="DP19" s="509"/>
      <c r="DQ19" s="509"/>
      <c r="DR19" s="509"/>
      <c r="DS19" s="509"/>
      <c r="DT19" s="509"/>
      <c r="DU19" s="509"/>
      <c r="DV19" s="509"/>
      <c r="DW19" s="509"/>
      <c r="DX19" s="509"/>
      <c r="DY19" s="509"/>
      <c r="DZ19" s="509"/>
      <c r="EA19" s="509"/>
      <c r="EB19" s="509"/>
      <c r="EC19" s="509"/>
      <c r="ED19" s="509"/>
      <c r="EE19" s="509"/>
      <c r="EF19" s="509"/>
      <c r="EG19" s="509"/>
      <c r="EH19" s="509"/>
      <c r="EI19" s="509"/>
      <c r="EJ19" s="509"/>
      <c r="EK19" s="509"/>
      <c r="EL19" s="509"/>
      <c r="EM19" s="509"/>
      <c r="EN19" s="509"/>
      <c r="EO19" s="509"/>
      <c r="EP19" s="509"/>
      <c r="EQ19" s="509"/>
      <c r="ER19" s="509"/>
      <c r="ES19" s="509"/>
      <c r="ET19" s="509"/>
      <c r="EU19" s="509"/>
      <c r="EV19" s="509"/>
      <c r="EW19" s="509"/>
      <c r="EX19" s="509"/>
      <c r="EY19" s="509"/>
      <c r="EZ19" s="509"/>
      <c r="FA19" s="509"/>
      <c r="FB19" s="509"/>
      <c r="FC19" s="509"/>
      <c r="FD19" s="509"/>
      <c r="FE19" s="509"/>
      <c r="FF19" s="509"/>
      <c r="FG19" s="509"/>
      <c r="FH19" s="509"/>
      <c r="FI19" s="509"/>
      <c r="FJ19" s="509"/>
      <c r="FK19" s="509"/>
      <c r="FL19" s="509"/>
      <c r="FM19" s="509"/>
      <c r="FN19" s="509"/>
      <c r="FO19" s="509"/>
      <c r="FP19" s="509"/>
      <c r="FQ19" s="509"/>
      <c r="FR19" s="509"/>
      <c r="FS19" s="509"/>
      <c r="FT19" s="509"/>
      <c r="FU19" s="509"/>
      <c r="FV19" s="509"/>
      <c r="FW19" s="509"/>
      <c r="FX19" s="509"/>
      <c r="FY19" s="509"/>
    </row>
    <row r="20" spans="1:181" ht="18.75" customHeight="1" thickBot="1" x14ac:dyDescent="0.25">
      <c r="A20" s="943"/>
      <c r="B20" s="101"/>
      <c r="C20" s="93">
        <v>126</v>
      </c>
      <c r="D20" s="60">
        <f t="shared" ref="D20:D25" si="2">INDEX(Tabelle,$C20,1)</f>
        <v>0</v>
      </c>
      <c r="E20" s="61"/>
      <c r="F20" s="62" t="str">
        <f t="shared" ref="F20:F25" si="3">IF(INDEX(Tabelle,$C20,22)="","",1)</f>
        <v/>
      </c>
      <c r="G20" s="1046" t="str">
        <f t="shared" ref="G20:G25" si="4">IF(INDEX(Tabelle,$C20,2)="","",INDEX(Tabelle,$C20,2)/10)</f>
        <v/>
      </c>
      <c r="H20" s="1043">
        <f t="shared" ref="H20:H25" si="5">ROUND(IF(Art=1,INDEX(Tabelle,$C20,3),INDEX(Tabelle,$C20,4)),2)</f>
        <v>0</v>
      </c>
      <c r="I20" s="1011">
        <f t="shared" ref="I20:I25" si="6">ROUND(IF(Art=1,INDEX(Tabelle,$C20,7),INDEX(Tabelle,$C20,5)),2)</f>
        <v>0</v>
      </c>
      <c r="J20" s="1012">
        <f t="shared" ref="J20:J25" si="7">IF(Art=1,INDEX(Tabelle,$C20,8),0)</f>
        <v>0</v>
      </c>
      <c r="K20" s="1011">
        <f t="shared" ref="K20:K25" si="8">INDEX(Tabelle,$C20,12)</f>
        <v>0</v>
      </c>
      <c r="L20" s="1013">
        <f t="shared" ref="L20:L25" si="9">IF(Art=1,INDEX(Tabelle,$C20,9),0)</f>
        <v>0</v>
      </c>
      <c r="M20" s="1011">
        <f t="shared" ref="M20:M25" si="10">INDEX(Tabelle,$C20,10)</f>
        <v>0</v>
      </c>
      <c r="N20" s="1011">
        <f t="shared" ref="N20:N25" si="11">INDEX(Tabelle,$C20,11)</f>
        <v>0</v>
      </c>
      <c r="O20" s="1011">
        <f t="shared" ref="O20:O25" si="12">INDEX(Tabelle,$C20,13)</f>
        <v>0</v>
      </c>
      <c r="P20" s="1011">
        <f t="shared" ref="P20:P25" si="13">INDEX(Tabelle,$C20,14)</f>
        <v>0</v>
      </c>
      <c r="Q20" s="1011">
        <f t="shared" ref="Q20:Q25" si="14">INDEX(Tabelle,$C20,15)</f>
        <v>0</v>
      </c>
      <c r="R20" s="1011">
        <f t="shared" ref="R20:R25" si="15">INDEX(Tabelle,$C20,16)</f>
        <v>0</v>
      </c>
      <c r="S20" s="1011">
        <f t="shared" ref="S20:S25" si="16">INDEX(Tabelle,$C20,17)*R20</f>
        <v>0</v>
      </c>
      <c r="T20" s="1381" t="str">
        <f t="shared" ref="T20:T25" si="17">IF(G20&lt;&gt;"",INDEX(Tabelle,$C20,25)/G20,"")</f>
        <v/>
      </c>
      <c r="U20" s="1014">
        <f t="shared" ref="U20:U25" si="18">IF(G20="",0,IF(TM_FM=2,B20,B20/G20*100))</f>
        <v>0</v>
      </c>
      <c r="V20" s="1099">
        <f t="shared" ref="V20:V25" si="19">IF(G20="",0,IF(TM_FM=1,B20,B20*G20/100))</f>
        <v>0</v>
      </c>
      <c r="W20" s="1017">
        <f t="shared" ref="W20:W25" si="20">V20*H20</f>
        <v>0</v>
      </c>
      <c r="X20" s="1016">
        <f t="shared" ref="X20:X25" si="21">V20*I20</f>
        <v>0</v>
      </c>
      <c r="Y20" s="1015">
        <f t="shared" ref="Y20:Y25" si="22">V20*J20</f>
        <v>0</v>
      </c>
      <c r="Z20" s="1016">
        <f t="shared" ref="Z20:Z25" si="23">+V20*K20</f>
        <v>0</v>
      </c>
      <c r="AA20" s="1017">
        <f t="shared" ref="AA20:AA25" si="24">+V20*L20</f>
        <v>0</v>
      </c>
      <c r="AB20" s="1018">
        <f t="shared" ref="AB20:AC25" si="25">IF(M20="-","k.A.",M20*$V20)</f>
        <v>0</v>
      </c>
      <c r="AC20" s="1016">
        <f t="shared" si="25"/>
        <v>0</v>
      </c>
      <c r="AD20" s="1018">
        <f t="shared" ref="AD20:AD25" si="26">+V20*O20</f>
        <v>0</v>
      </c>
      <c r="AE20" s="1018">
        <f t="shared" ref="AE20:AE25" si="27">+V20*P20</f>
        <v>0</v>
      </c>
      <c r="AF20" s="1016">
        <f t="shared" ref="AF20:AF25" si="28">+V20*Q20</f>
        <v>0</v>
      </c>
      <c r="AG20" s="1016">
        <f t="shared" ref="AG20:AG25" si="29">V20*R20</f>
        <v>0</v>
      </c>
      <c r="AH20" s="1019">
        <f>+S20*V20</f>
        <v>0</v>
      </c>
      <c r="AI20" s="1398">
        <f>IF(V20=0,0,V20*T20)</f>
        <v>0</v>
      </c>
      <c r="AJ20" s="1020">
        <f t="shared" ref="AJ20:AJ25" si="30">IF(Tiere&gt;0,Tiere*U20,"")</f>
        <v>0</v>
      </c>
      <c r="AK20" s="1140" t="str">
        <f>IF(B20="","",IF(COUNTIF(G20:N20,0)&gt;0,"?",""))</f>
        <v/>
      </c>
    </row>
    <row r="21" spans="1:181" ht="18.75" customHeight="1" thickBot="1" x14ac:dyDescent="0.25">
      <c r="A21" s="943"/>
      <c r="B21" s="102"/>
      <c r="C21" s="98">
        <v>70</v>
      </c>
      <c r="D21" s="68">
        <f t="shared" si="2"/>
        <v>0</v>
      </c>
      <c r="E21" s="69"/>
      <c r="F21" s="70" t="str">
        <f t="shared" si="3"/>
        <v/>
      </c>
      <c r="G21" s="1047" t="str">
        <f t="shared" si="4"/>
        <v/>
      </c>
      <c r="H21" s="1044">
        <f t="shared" si="5"/>
        <v>0</v>
      </c>
      <c r="I21" s="1021">
        <f t="shared" si="6"/>
        <v>0</v>
      </c>
      <c r="J21" s="1022">
        <f t="shared" si="7"/>
        <v>0</v>
      </c>
      <c r="K21" s="1021">
        <f t="shared" si="8"/>
        <v>0</v>
      </c>
      <c r="L21" s="1023">
        <f t="shared" si="9"/>
        <v>0</v>
      </c>
      <c r="M21" s="1021">
        <f t="shared" si="10"/>
        <v>0</v>
      </c>
      <c r="N21" s="1021">
        <f t="shared" si="11"/>
        <v>0</v>
      </c>
      <c r="O21" s="1021">
        <f t="shared" si="12"/>
        <v>0</v>
      </c>
      <c r="P21" s="1021">
        <f t="shared" si="13"/>
        <v>0</v>
      </c>
      <c r="Q21" s="1021">
        <f t="shared" si="14"/>
        <v>0</v>
      </c>
      <c r="R21" s="1021">
        <f t="shared" si="15"/>
        <v>0</v>
      </c>
      <c r="S21" s="1021">
        <f t="shared" si="16"/>
        <v>0</v>
      </c>
      <c r="T21" s="1381" t="str">
        <f t="shared" si="17"/>
        <v/>
      </c>
      <c r="U21" s="1024">
        <f t="shared" si="18"/>
        <v>0</v>
      </c>
      <c r="V21" s="1099">
        <f t="shared" si="19"/>
        <v>0</v>
      </c>
      <c r="W21" s="1091">
        <f t="shared" si="20"/>
        <v>0</v>
      </c>
      <c r="X21" s="1026">
        <f t="shared" si="21"/>
        <v>0</v>
      </c>
      <c r="Y21" s="1025">
        <f t="shared" si="22"/>
        <v>0</v>
      </c>
      <c r="Z21" s="1026">
        <f t="shared" si="23"/>
        <v>0</v>
      </c>
      <c r="AA21" s="1027">
        <f t="shared" si="24"/>
        <v>0</v>
      </c>
      <c r="AB21" s="1028">
        <f t="shared" si="25"/>
        <v>0</v>
      </c>
      <c r="AC21" s="1109">
        <f t="shared" si="25"/>
        <v>0</v>
      </c>
      <c r="AD21" s="1028">
        <f t="shared" si="26"/>
        <v>0</v>
      </c>
      <c r="AE21" s="1028">
        <f t="shared" si="27"/>
        <v>0</v>
      </c>
      <c r="AF21" s="1026">
        <f t="shared" si="28"/>
        <v>0</v>
      </c>
      <c r="AG21" s="1026">
        <f t="shared" si="29"/>
        <v>0</v>
      </c>
      <c r="AH21" s="1029">
        <f t="shared" ref="AH21:AH25" si="31">+S21*V21</f>
        <v>0</v>
      </c>
      <c r="AI21" s="1405">
        <f t="shared" ref="AI21:AI25" si="32">IF(V21=0,0,V21*T21)</f>
        <v>0</v>
      </c>
      <c r="AJ21" s="1030">
        <f t="shared" si="30"/>
        <v>0</v>
      </c>
      <c r="AK21" s="1140" t="str">
        <f t="shared" ref="AK21:AK25" si="33">IF(B21="","",IF(COUNTIF(G21:N21,0)&gt;0,"?",""))</f>
        <v/>
      </c>
    </row>
    <row r="22" spans="1:181" ht="18.75" customHeight="1" thickBot="1" x14ac:dyDescent="0.25">
      <c r="A22" s="943"/>
      <c r="B22" s="102"/>
      <c r="C22" s="98">
        <v>26</v>
      </c>
      <c r="D22" s="68">
        <v>3.5</v>
      </c>
      <c r="E22" s="69"/>
      <c r="F22" s="70" t="str">
        <f t="shared" si="3"/>
        <v/>
      </c>
      <c r="G22" s="1047" t="str">
        <f t="shared" si="4"/>
        <v/>
      </c>
      <c r="H22" s="1044">
        <f t="shared" si="5"/>
        <v>0</v>
      </c>
      <c r="I22" s="1021">
        <f t="shared" si="6"/>
        <v>0</v>
      </c>
      <c r="J22" s="1022">
        <f t="shared" si="7"/>
        <v>0</v>
      </c>
      <c r="K22" s="1021">
        <f t="shared" si="8"/>
        <v>0</v>
      </c>
      <c r="L22" s="1023">
        <f t="shared" si="9"/>
        <v>0</v>
      </c>
      <c r="M22" s="1021">
        <f t="shared" si="10"/>
        <v>0</v>
      </c>
      <c r="N22" s="1021">
        <f t="shared" si="11"/>
        <v>0</v>
      </c>
      <c r="O22" s="1021">
        <f t="shared" si="12"/>
        <v>0</v>
      </c>
      <c r="P22" s="1021">
        <f t="shared" si="13"/>
        <v>0</v>
      </c>
      <c r="Q22" s="1021">
        <f t="shared" si="14"/>
        <v>0</v>
      </c>
      <c r="R22" s="1021">
        <f t="shared" si="15"/>
        <v>0</v>
      </c>
      <c r="S22" s="1021">
        <f t="shared" si="16"/>
        <v>0</v>
      </c>
      <c r="T22" s="1381" t="str">
        <f t="shared" si="17"/>
        <v/>
      </c>
      <c r="U22" s="1024">
        <f t="shared" si="18"/>
        <v>0</v>
      </c>
      <c r="V22" s="1099">
        <f t="shared" si="19"/>
        <v>0</v>
      </c>
      <c r="W22" s="1091">
        <f t="shared" si="20"/>
        <v>0</v>
      </c>
      <c r="X22" s="1026">
        <f t="shared" si="21"/>
        <v>0</v>
      </c>
      <c r="Y22" s="1025">
        <f t="shared" si="22"/>
        <v>0</v>
      </c>
      <c r="Z22" s="1026">
        <f t="shared" si="23"/>
        <v>0</v>
      </c>
      <c r="AA22" s="1027">
        <f t="shared" si="24"/>
        <v>0</v>
      </c>
      <c r="AB22" s="1028">
        <f t="shared" si="25"/>
        <v>0</v>
      </c>
      <c r="AC22" s="1109">
        <f t="shared" si="25"/>
        <v>0</v>
      </c>
      <c r="AD22" s="1028">
        <f t="shared" si="26"/>
        <v>0</v>
      </c>
      <c r="AE22" s="1028">
        <f t="shared" si="27"/>
        <v>0</v>
      </c>
      <c r="AF22" s="1026">
        <f t="shared" si="28"/>
        <v>0</v>
      </c>
      <c r="AG22" s="1026">
        <f t="shared" si="29"/>
        <v>0</v>
      </c>
      <c r="AH22" s="1029">
        <f t="shared" si="31"/>
        <v>0</v>
      </c>
      <c r="AI22" s="1405">
        <f t="shared" si="32"/>
        <v>0</v>
      </c>
      <c r="AJ22" s="1030">
        <f t="shared" si="30"/>
        <v>0</v>
      </c>
      <c r="AK22" s="1140" t="str">
        <f t="shared" si="33"/>
        <v/>
      </c>
    </row>
    <row r="23" spans="1:181" ht="18.75" customHeight="1" thickBot="1" x14ac:dyDescent="0.25">
      <c r="A23" s="943"/>
      <c r="B23" s="102"/>
      <c r="C23" s="98">
        <v>27</v>
      </c>
      <c r="D23" s="68">
        <f t="shared" si="2"/>
        <v>0</v>
      </c>
      <c r="E23" s="69"/>
      <c r="F23" s="70" t="str">
        <f t="shared" si="3"/>
        <v/>
      </c>
      <c r="G23" s="1047" t="str">
        <f t="shared" si="4"/>
        <v/>
      </c>
      <c r="H23" s="1044">
        <f t="shared" si="5"/>
        <v>0</v>
      </c>
      <c r="I23" s="1021">
        <f t="shared" si="6"/>
        <v>0</v>
      </c>
      <c r="J23" s="1022">
        <f t="shared" si="7"/>
        <v>0</v>
      </c>
      <c r="K23" s="1021">
        <f t="shared" si="8"/>
        <v>0</v>
      </c>
      <c r="L23" s="1023">
        <f t="shared" si="9"/>
        <v>0</v>
      </c>
      <c r="M23" s="1021">
        <f t="shared" si="10"/>
        <v>0</v>
      </c>
      <c r="N23" s="1021">
        <f t="shared" si="11"/>
        <v>0</v>
      </c>
      <c r="O23" s="1021">
        <f t="shared" si="12"/>
        <v>0</v>
      </c>
      <c r="P23" s="1021">
        <f t="shared" si="13"/>
        <v>0</v>
      </c>
      <c r="Q23" s="1021">
        <f t="shared" si="14"/>
        <v>0</v>
      </c>
      <c r="R23" s="1021">
        <f t="shared" si="15"/>
        <v>0</v>
      </c>
      <c r="S23" s="1021">
        <f t="shared" si="16"/>
        <v>0</v>
      </c>
      <c r="T23" s="1381" t="str">
        <f t="shared" si="17"/>
        <v/>
      </c>
      <c r="U23" s="1024">
        <f t="shared" si="18"/>
        <v>0</v>
      </c>
      <c r="V23" s="1099">
        <f t="shared" si="19"/>
        <v>0</v>
      </c>
      <c r="W23" s="1091">
        <f t="shared" si="20"/>
        <v>0</v>
      </c>
      <c r="X23" s="1026">
        <f t="shared" si="21"/>
        <v>0</v>
      </c>
      <c r="Y23" s="1025">
        <f t="shared" si="22"/>
        <v>0</v>
      </c>
      <c r="Z23" s="1026">
        <f t="shared" si="23"/>
        <v>0</v>
      </c>
      <c r="AA23" s="1027">
        <f t="shared" si="24"/>
        <v>0</v>
      </c>
      <c r="AB23" s="1028">
        <f t="shared" si="25"/>
        <v>0</v>
      </c>
      <c r="AC23" s="1109">
        <f t="shared" si="25"/>
        <v>0</v>
      </c>
      <c r="AD23" s="1028">
        <f t="shared" si="26"/>
        <v>0</v>
      </c>
      <c r="AE23" s="1028">
        <f t="shared" si="27"/>
        <v>0</v>
      </c>
      <c r="AF23" s="1026">
        <f t="shared" si="28"/>
        <v>0</v>
      </c>
      <c r="AG23" s="1026">
        <f t="shared" si="29"/>
        <v>0</v>
      </c>
      <c r="AH23" s="1029">
        <f t="shared" si="31"/>
        <v>0</v>
      </c>
      <c r="AI23" s="1405">
        <f t="shared" si="32"/>
        <v>0</v>
      </c>
      <c r="AJ23" s="1030">
        <f t="shared" si="30"/>
        <v>0</v>
      </c>
      <c r="AK23" s="1140" t="str">
        <f t="shared" si="33"/>
        <v/>
      </c>
    </row>
    <row r="24" spans="1:181" ht="18.75" customHeight="1" thickBot="1" x14ac:dyDescent="0.25">
      <c r="A24" s="943"/>
      <c r="B24" s="102"/>
      <c r="C24" s="98">
        <v>8</v>
      </c>
      <c r="D24" s="68">
        <f t="shared" si="2"/>
        <v>0</v>
      </c>
      <c r="E24" s="69"/>
      <c r="F24" s="70" t="str">
        <f t="shared" si="3"/>
        <v/>
      </c>
      <c r="G24" s="1047" t="str">
        <f t="shared" si="4"/>
        <v/>
      </c>
      <c r="H24" s="1044">
        <f t="shared" si="5"/>
        <v>0</v>
      </c>
      <c r="I24" s="1021">
        <f t="shared" si="6"/>
        <v>0</v>
      </c>
      <c r="J24" s="1022">
        <f t="shared" si="7"/>
        <v>0</v>
      </c>
      <c r="K24" s="1021">
        <f t="shared" si="8"/>
        <v>0</v>
      </c>
      <c r="L24" s="1023">
        <f t="shared" si="9"/>
        <v>0</v>
      </c>
      <c r="M24" s="1021">
        <f t="shared" si="10"/>
        <v>0</v>
      </c>
      <c r="N24" s="1021">
        <f t="shared" si="11"/>
        <v>0</v>
      </c>
      <c r="O24" s="1021">
        <f t="shared" si="12"/>
        <v>0</v>
      </c>
      <c r="P24" s="1021">
        <f t="shared" si="13"/>
        <v>0</v>
      </c>
      <c r="Q24" s="1021">
        <f t="shared" si="14"/>
        <v>0</v>
      </c>
      <c r="R24" s="1021">
        <f t="shared" si="15"/>
        <v>0</v>
      </c>
      <c r="S24" s="1021">
        <f t="shared" si="16"/>
        <v>0</v>
      </c>
      <c r="T24" s="1381" t="str">
        <f t="shared" si="17"/>
        <v/>
      </c>
      <c r="U24" s="1024">
        <f t="shared" si="18"/>
        <v>0</v>
      </c>
      <c r="V24" s="1099">
        <f t="shared" si="19"/>
        <v>0</v>
      </c>
      <c r="W24" s="1091">
        <f t="shared" si="20"/>
        <v>0</v>
      </c>
      <c r="X24" s="1026">
        <f t="shared" si="21"/>
        <v>0</v>
      </c>
      <c r="Y24" s="1025">
        <f t="shared" si="22"/>
        <v>0</v>
      </c>
      <c r="Z24" s="1026">
        <f t="shared" si="23"/>
        <v>0</v>
      </c>
      <c r="AA24" s="1027">
        <f t="shared" si="24"/>
        <v>0</v>
      </c>
      <c r="AB24" s="1028">
        <f t="shared" si="25"/>
        <v>0</v>
      </c>
      <c r="AC24" s="1109">
        <f t="shared" si="25"/>
        <v>0</v>
      </c>
      <c r="AD24" s="1028">
        <f t="shared" si="26"/>
        <v>0</v>
      </c>
      <c r="AE24" s="1028">
        <f t="shared" si="27"/>
        <v>0</v>
      </c>
      <c r="AF24" s="1026">
        <f t="shared" si="28"/>
        <v>0</v>
      </c>
      <c r="AG24" s="1026">
        <f t="shared" si="29"/>
        <v>0</v>
      </c>
      <c r="AH24" s="1029">
        <f t="shared" si="31"/>
        <v>0</v>
      </c>
      <c r="AI24" s="1405">
        <f t="shared" si="32"/>
        <v>0</v>
      </c>
      <c r="AJ24" s="1030">
        <f t="shared" si="30"/>
        <v>0</v>
      </c>
      <c r="AK24" s="1140" t="str">
        <f t="shared" si="33"/>
        <v/>
      </c>
    </row>
    <row r="25" spans="1:181" ht="18.75" customHeight="1" thickBot="1" x14ac:dyDescent="0.25">
      <c r="A25" s="943"/>
      <c r="B25" s="103"/>
      <c r="C25" s="94">
        <v>27</v>
      </c>
      <c r="D25" s="73">
        <f t="shared" si="2"/>
        <v>0</v>
      </c>
      <c r="E25" s="74"/>
      <c r="F25" s="75" t="str">
        <f t="shared" si="3"/>
        <v/>
      </c>
      <c r="G25" s="1048" t="str">
        <f t="shared" si="4"/>
        <v/>
      </c>
      <c r="H25" s="1045">
        <f t="shared" si="5"/>
        <v>0</v>
      </c>
      <c r="I25" s="1031">
        <f t="shared" si="6"/>
        <v>0</v>
      </c>
      <c r="J25" s="1006">
        <f t="shared" si="7"/>
        <v>0</v>
      </c>
      <c r="K25" s="1031">
        <f t="shared" si="8"/>
        <v>0</v>
      </c>
      <c r="L25" s="1032">
        <f t="shared" si="9"/>
        <v>0</v>
      </c>
      <c r="M25" s="1031">
        <f t="shared" si="10"/>
        <v>0</v>
      </c>
      <c r="N25" s="1031">
        <f t="shared" si="11"/>
        <v>0</v>
      </c>
      <c r="O25" s="1031">
        <f t="shared" si="12"/>
        <v>0</v>
      </c>
      <c r="P25" s="1031">
        <f t="shared" si="13"/>
        <v>0</v>
      </c>
      <c r="Q25" s="1031">
        <f t="shared" si="14"/>
        <v>0</v>
      </c>
      <c r="R25" s="1031">
        <f t="shared" si="15"/>
        <v>0</v>
      </c>
      <c r="S25" s="1031">
        <f t="shared" si="16"/>
        <v>0</v>
      </c>
      <c r="T25" s="1381" t="str">
        <f t="shared" si="17"/>
        <v/>
      </c>
      <c r="U25" s="1033">
        <f t="shared" si="18"/>
        <v>0</v>
      </c>
      <c r="V25" s="1100">
        <f t="shared" si="19"/>
        <v>0</v>
      </c>
      <c r="W25" s="1036">
        <f t="shared" si="20"/>
        <v>0</v>
      </c>
      <c r="X25" s="1035">
        <f t="shared" si="21"/>
        <v>0</v>
      </c>
      <c r="Y25" s="1034">
        <f t="shared" si="22"/>
        <v>0</v>
      </c>
      <c r="Z25" s="1035">
        <f t="shared" si="23"/>
        <v>0</v>
      </c>
      <c r="AA25" s="1036">
        <f t="shared" si="24"/>
        <v>0</v>
      </c>
      <c r="AB25" s="1037">
        <f t="shared" si="25"/>
        <v>0</v>
      </c>
      <c r="AC25" s="1035">
        <f t="shared" si="25"/>
        <v>0</v>
      </c>
      <c r="AD25" s="1037">
        <f t="shared" si="26"/>
        <v>0</v>
      </c>
      <c r="AE25" s="1037">
        <f t="shared" si="27"/>
        <v>0</v>
      </c>
      <c r="AF25" s="1035">
        <f t="shared" si="28"/>
        <v>0</v>
      </c>
      <c r="AG25" s="1035">
        <f t="shared" si="29"/>
        <v>0</v>
      </c>
      <c r="AH25" s="1038">
        <f t="shared" si="31"/>
        <v>0</v>
      </c>
      <c r="AI25" s="1406">
        <f t="shared" si="32"/>
        <v>0</v>
      </c>
      <c r="AJ25" s="1039">
        <f t="shared" si="30"/>
        <v>0</v>
      </c>
      <c r="AK25" s="1140" t="str">
        <f t="shared" si="33"/>
        <v/>
      </c>
    </row>
    <row r="26" spans="1:181" ht="17.25" customHeight="1" thickBot="1" x14ac:dyDescent="0.25">
      <c r="A26" s="943"/>
      <c r="B26" s="907"/>
      <c r="C26" s="907"/>
      <c r="D26" s="907"/>
      <c r="E26" s="907"/>
      <c r="F26" s="921"/>
      <c r="G26" s="917"/>
      <c r="H26" s="914"/>
      <c r="I26" s="914"/>
      <c r="J26" s="914"/>
      <c r="K26" s="914"/>
      <c r="L26" s="914"/>
      <c r="M26" s="918"/>
      <c r="N26" s="1058" t="s">
        <v>32</v>
      </c>
      <c r="O26" s="1059"/>
      <c r="P26" s="1060"/>
      <c r="Q26" s="1060"/>
      <c r="R26" s="1060"/>
      <c r="S26" s="1061"/>
      <c r="T26" s="1060"/>
      <c r="U26" s="989">
        <f t="shared" ref="U26:AJ26" si="34">SUM(U20:U25)</f>
        <v>0</v>
      </c>
      <c r="V26" s="1101">
        <f t="shared" si="34"/>
        <v>0</v>
      </c>
      <c r="W26" s="1092">
        <f t="shared" si="34"/>
        <v>0</v>
      </c>
      <c r="X26" s="1062">
        <f t="shared" si="34"/>
        <v>0</v>
      </c>
      <c r="Y26" s="993">
        <f t="shared" si="34"/>
        <v>0</v>
      </c>
      <c r="Z26" s="1062">
        <f t="shared" si="34"/>
        <v>0</v>
      </c>
      <c r="AA26" s="1063">
        <f t="shared" si="34"/>
        <v>0</v>
      </c>
      <c r="AB26" s="1062">
        <f t="shared" si="34"/>
        <v>0</v>
      </c>
      <c r="AC26" s="1062">
        <f t="shared" si="34"/>
        <v>0</v>
      </c>
      <c r="AD26" s="1062">
        <f t="shared" si="34"/>
        <v>0</v>
      </c>
      <c r="AE26" s="1062">
        <f t="shared" si="34"/>
        <v>0</v>
      </c>
      <c r="AF26" s="1062">
        <f t="shared" si="34"/>
        <v>0</v>
      </c>
      <c r="AG26" s="1062">
        <f t="shared" si="34"/>
        <v>0</v>
      </c>
      <c r="AH26" s="1086">
        <f t="shared" si="34"/>
        <v>0</v>
      </c>
      <c r="AI26" s="1074">
        <f t="shared" si="34"/>
        <v>0</v>
      </c>
      <c r="AJ26" s="1113">
        <f t="shared" si="34"/>
        <v>0</v>
      </c>
      <c r="AK26" s="1140"/>
    </row>
    <row r="27" spans="1:181" ht="18.75" customHeight="1" thickBot="1" x14ac:dyDescent="0.25">
      <c r="A27" s="944"/>
      <c r="B27" s="945"/>
      <c r="C27" s="92"/>
      <c r="D27" s="1053" t="s">
        <v>169</v>
      </c>
      <c r="E27" s="1049"/>
      <c r="F27" s="1054"/>
      <c r="G27" s="917"/>
      <c r="H27" s="914"/>
      <c r="I27" s="914"/>
      <c r="J27" s="914"/>
      <c r="K27" s="918"/>
      <c r="L27" s="918"/>
      <c r="M27" s="916"/>
      <c r="N27" s="907"/>
      <c r="O27" s="907"/>
      <c r="P27" s="918"/>
      <c r="Q27" s="918"/>
      <c r="R27" s="918"/>
      <c r="S27" s="918"/>
      <c r="T27" s="918"/>
      <c r="U27" s="1076" t="s">
        <v>167</v>
      </c>
      <c r="V27" s="1103" t="str">
        <f>IF(V26=0,"",TM_GF/U26)</f>
        <v/>
      </c>
      <c r="W27" s="1114" t="str">
        <f t="shared" ref="W27:AC27" si="35">IF($V$26&gt;0,W26/TM_GF,"")</f>
        <v/>
      </c>
      <c r="X27" s="1301" t="str">
        <f t="shared" si="35"/>
        <v/>
      </c>
      <c r="Y27" s="1117" t="str">
        <f t="shared" si="35"/>
        <v/>
      </c>
      <c r="Z27" s="1301" t="str">
        <f t="shared" si="35"/>
        <v/>
      </c>
      <c r="AA27" s="1117" t="str">
        <f t="shared" si="35"/>
        <v/>
      </c>
      <c r="AB27" s="1301" t="str">
        <f t="shared" si="35"/>
        <v/>
      </c>
      <c r="AC27" s="1301" t="str">
        <f t="shared" si="35"/>
        <v/>
      </c>
      <c r="AD27" s="921"/>
      <c r="AE27" s="921"/>
      <c r="AF27" s="921"/>
      <c r="AG27" s="921"/>
      <c r="AH27" s="921"/>
      <c r="AI27" s="921"/>
      <c r="AJ27" s="921"/>
      <c r="AK27" s="1141"/>
    </row>
    <row r="28" spans="1:181" s="895" customFormat="1" ht="4.5" customHeight="1" thickBot="1" x14ac:dyDescent="0.25">
      <c r="A28" s="889"/>
      <c r="B28" s="907"/>
      <c r="C28" s="907"/>
      <c r="D28" s="1055"/>
      <c r="E28" s="1056"/>
      <c r="F28" s="1057"/>
      <c r="G28" s="917"/>
      <c r="H28" s="914"/>
      <c r="I28" s="914"/>
      <c r="J28" s="914"/>
      <c r="K28" s="918"/>
      <c r="L28" s="918"/>
      <c r="M28" s="916"/>
      <c r="N28" s="907"/>
      <c r="O28" s="907"/>
      <c r="P28" s="918"/>
      <c r="Q28" s="918"/>
      <c r="R28" s="918"/>
      <c r="S28" s="918"/>
      <c r="T28" s="918"/>
      <c r="U28" s="919"/>
      <c r="V28" s="920"/>
      <c r="W28" s="919"/>
      <c r="X28" s="919"/>
      <c r="Y28" s="907"/>
      <c r="Z28" s="916"/>
      <c r="AA28" s="907"/>
      <c r="AB28" s="907"/>
      <c r="AC28" s="907"/>
      <c r="AD28" s="907"/>
      <c r="AE28" s="916"/>
      <c r="AF28" s="916"/>
      <c r="AG28" s="907"/>
      <c r="AH28" s="907"/>
      <c r="AI28" s="907"/>
      <c r="AJ28" s="907"/>
      <c r="AK28" s="1133"/>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509"/>
      <c r="DQ28" s="509"/>
      <c r="DR28" s="509"/>
      <c r="DS28" s="509"/>
      <c r="DT28" s="509"/>
      <c r="DU28" s="509"/>
      <c r="DV28" s="509"/>
      <c r="DW28" s="509"/>
      <c r="DX28" s="509"/>
      <c r="DY28" s="509"/>
      <c r="DZ28" s="509"/>
      <c r="EA28" s="509"/>
      <c r="EB28" s="509"/>
      <c r="EC28" s="509"/>
      <c r="ED28" s="509"/>
      <c r="EE28" s="509"/>
      <c r="EF28" s="509"/>
      <c r="EG28" s="509"/>
      <c r="EH28" s="509"/>
      <c r="EI28" s="509"/>
      <c r="EJ28" s="509"/>
      <c r="EK28" s="509"/>
      <c r="EL28" s="509"/>
      <c r="EM28" s="509"/>
      <c r="EN28" s="509"/>
      <c r="EO28" s="509"/>
      <c r="EP28" s="509"/>
      <c r="EQ28" s="509"/>
      <c r="ER28" s="509"/>
      <c r="ES28" s="509"/>
      <c r="ET28" s="509"/>
      <c r="EU28" s="509"/>
      <c r="EV28" s="509"/>
      <c r="EW28" s="509"/>
      <c r="EX28" s="509"/>
      <c r="EY28" s="509"/>
      <c r="EZ28" s="509"/>
      <c r="FA28" s="509"/>
      <c r="FB28" s="509"/>
      <c r="FC28" s="509"/>
      <c r="FD28" s="509"/>
      <c r="FE28" s="509"/>
      <c r="FF28" s="509"/>
      <c r="FG28" s="509"/>
      <c r="FH28" s="509"/>
      <c r="FI28" s="509"/>
      <c r="FJ28" s="509"/>
      <c r="FK28" s="509"/>
      <c r="FL28" s="509"/>
      <c r="FM28" s="509"/>
      <c r="FN28" s="509"/>
      <c r="FO28" s="509"/>
      <c r="FP28" s="509"/>
      <c r="FQ28" s="509"/>
      <c r="FR28" s="509"/>
      <c r="FS28" s="509"/>
      <c r="FT28" s="509"/>
      <c r="FU28" s="509"/>
      <c r="FV28" s="509"/>
      <c r="FW28" s="509"/>
      <c r="FX28" s="509"/>
      <c r="FY28" s="509"/>
    </row>
    <row r="29" spans="1:181" ht="18" customHeight="1" thickBot="1" x14ac:dyDescent="0.25">
      <c r="A29" s="943"/>
      <c r="B29" s="95">
        <v>1</v>
      </c>
      <c r="C29" s="93">
        <v>174</v>
      </c>
      <c r="D29" s="60">
        <f>INDEX(Tabelle,$C29,1)</f>
        <v>0</v>
      </c>
      <c r="E29" s="61"/>
      <c r="F29" s="83" t="str">
        <f>IF(INDEX(Tabelle,$C29,22)="","",1)</f>
        <v/>
      </c>
      <c r="G29" s="1046" t="str">
        <f>IF(INDEX(Tabelle,$C29,2)="","",INDEX(Tabelle,$C29,2)/10)</f>
        <v/>
      </c>
      <c r="H29" s="1043">
        <f>ROUND(IF(Art=1,INDEX(Tabelle,$C29,3),INDEX(Tabelle,$C29,4)),2)</f>
        <v>0</v>
      </c>
      <c r="I29" s="1011">
        <f>ROUND(IF(Art=1,INDEX(Tabelle,$C29,7),INDEX(Tabelle,$C29,6)),2)</f>
        <v>0</v>
      </c>
      <c r="J29" s="1012">
        <f>IF(Art=1,INDEX(Tabelle,$C29,8),0)</f>
        <v>0</v>
      </c>
      <c r="K29" s="1011">
        <f>INDEX(Tabelle,$C29,12)</f>
        <v>0</v>
      </c>
      <c r="L29" s="1013">
        <f>IF(Art=1,INDEX(Tabelle,$C29,9),0)</f>
        <v>0</v>
      </c>
      <c r="M29" s="1011">
        <f>INDEX(Tabelle,$C29,10)</f>
        <v>0</v>
      </c>
      <c r="N29" s="1011">
        <f>INDEX(Tabelle,$C29,11)</f>
        <v>0</v>
      </c>
      <c r="O29" s="1011">
        <f>INDEX(Tabelle,$C29,13)</f>
        <v>0</v>
      </c>
      <c r="P29" s="1011">
        <f>INDEX(Tabelle,$C29,14)</f>
        <v>0</v>
      </c>
      <c r="Q29" s="1011">
        <f>INDEX(Tabelle,$C29,15)</f>
        <v>0</v>
      </c>
      <c r="R29" s="1011">
        <f>INDEX(Tabelle,$C29,16)</f>
        <v>0</v>
      </c>
      <c r="S29" s="1011">
        <f>INDEX(Tabelle,$C29,17)*R29</f>
        <v>0</v>
      </c>
      <c r="T29" s="1381" t="str">
        <f>IF(G29&lt;&gt;"",INDEX(Tabelle,$C29,25)/G29,"")</f>
        <v/>
      </c>
      <c r="U29" s="1014">
        <f>IF(G29="",0,IF(TM_FM=2,B29,B29/G29*100))</f>
        <v>0</v>
      </c>
      <c r="V29" s="1098">
        <f>IF(G29="",0,IF(TM_FM=1,B29,B29*G29/100))</f>
        <v>0</v>
      </c>
      <c r="W29" s="1017">
        <f>V29*H29</f>
        <v>0</v>
      </c>
      <c r="X29" s="1016">
        <f>V29*I29</f>
        <v>0</v>
      </c>
      <c r="Y29" s="1015">
        <f>V29*J29</f>
        <v>0</v>
      </c>
      <c r="Z29" s="1016">
        <f>+V29*K29</f>
        <v>0</v>
      </c>
      <c r="AA29" s="1065">
        <f>+V29*L29</f>
        <v>0</v>
      </c>
      <c r="AB29" s="1016">
        <f t="shared" ref="AB29:AC32" si="36">IF(M29="-","k.A.",M29*$V29)</f>
        <v>0</v>
      </c>
      <c r="AC29" s="1016">
        <f t="shared" si="36"/>
        <v>0</v>
      </c>
      <c r="AD29" s="1018">
        <f>+V29*O29</f>
        <v>0</v>
      </c>
      <c r="AE29" s="1018">
        <f>+V29*P29</f>
        <v>0</v>
      </c>
      <c r="AF29" s="1016">
        <f>+V29*Q29</f>
        <v>0</v>
      </c>
      <c r="AG29" s="1016">
        <f>V29*R29</f>
        <v>0</v>
      </c>
      <c r="AH29" s="1019">
        <f t="shared" ref="AH29:AH32" si="37">+S29*V29</f>
        <v>0</v>
      </c>
      <c r="AI29" s="1398">
        <f t="shared" ref="AI29:AI32" si="38">IF(V29=0,0,V29*T29)</f>
        <v>0</v>
      </c>
      <c r="AJ29" s="1020">
        <f>IF(Tiere&gt;0,Tiere*U29,"")</f>
        <v>0</v>
      </c>
      <c r="AK29" s="1140" t="str">
        <f>IF(B29="","",IF(COUNTIF(G29:N29,0)&gt;0,"?",""))</f>
        <v>?</v>
      </c>
    </row>
    <row r="30" spans="1:181" ht="18" customHeight="1" thickBot="1" x14ac:dyDescent="0.25">
      <c r="A30" s="943"/>
      <c r="B30" s="99"/>
      <c r="C30" s="97">
        <v>174</v>
      </c>
      <c r="D30" s="68">
        <f>INDEX(Tabelle,$C30,1)</f>
        <v>0</v>
      </c>
      <c r="E30" s="69"/>
      <c r="F30" s="84" t="str">
        <f>IF(INDEX(Tabelle,$C30,22)="","",1)</f>
        <v/>
      </c>
      <c r="G30" s="1047" t="str">
        <f>IF(INDEX(Tabelle,$C30,2)="","",INDEX(Tabelle,$C30,2)/10)</f>
        <v/>
      </c>
      <c r="H30" s="1044">
        <f>ROUND(IF(Art=1,INDEX(Tabelle,$C30,3),INDEX(Tabelle,$C30,4)),2)</f>
        <v>0</v>
      </c>
      <c r="I30" s="1021">
        <f>ROUND(IF(Art=1,INDEX(Tabelle,$C30,7),INDEX(Tabelle,$C30,6)),2)</f>
        <v>0</v>
      </c>
      <c r="J30" s="1022">
        <f>IF(Art=1,INDEX(Tabelle,$C30,8),0)</f>
        <v>0</v>
      </c>
      <c r="K30" s="1021">
        <f>INDEX(Tabelle,$C30,12)</f>
        <v>0</v>
      </c>
      <c r="L30" s="1023">
        <f>IF(Art=1,INDEX(Tabelle,$C30,9),0)</f>
        <v>0</v>
      </c>
      <c r="M30" s="1021">
        <f>INDEX(Tabelle,$C30,10)</f>
        <v>0</v>
      </c>
      <c r="N30" s="1021">
        <f>INDEX(Tabelle,$C30,11)</f>
        <v>0</v>
      </c>
      <c r="O30" s="1064">
        <f>INDEX(Tabelle,$C30,13)</f>
        <v>0</v>
      </c>
      <c r="P30" s="1021">
        <f>INDEX(Tabelle,$C30,14)</f>
        <v>0</v>
      </c>
      <c r="Q30" s="1021">
        <f>INDEX(Tabelle,$C30,15)</f>
        <v>0</v>
      </c>
      <c r="R30" s="1021">
        <f>INDEX(Tabelle,$C30,16)</f>
        <v>0</v>
      </c>
      <c r="S30" s="1021">
        <f>INDEX(Tabelle,$C30,17)*R30</f>
        <v>0</v>
      </c>
      <c r="T30" s="1381" t="str">
        <f>IF(G30&lt;&gt;"",INDEX(Tabelle,$C30,25)/G30,"")</f>
        <v/>
      </c>
      <c r="U30" s="1066">
        <f>IF(G30="",0,IF(TM_FM=2,B30,B30/G30*100))</f>
        <v>0</v>
      </c>
      <c r="V30" s="1102">
        <f>IF(G30="",0,IF(TM_FM=1,B30,B30*G30/100))</f>
        <v>0</v>
      </c>
      <c r="W30" s="1093">
        <f>V30*H30</f>
        <v>0</v>
      </c>
      <c r="X30" s="1068">
        <f>V30*I30</f>
        <v>0</v>
      </c>
      <c r="Y30" s="1067">
        <f>V30*J30</f>
        <v>0</v>
      </c>
      <c r="Z30" s="1068">
        <f>+V30*K30</f>
        <v>0</v>
      </c>
      <c r="AA30" s="1069">
        <f>+V30*L30</f>
        <v>0</v>
      </c>
      <c r="AB30" s="1026">
        <f t="shared" si="36"/>
        <v>0</v>
      </c>
      <c r="AC30" s="1109">
        <f t="shared" si="36"/>
        <v>0</v>
      </c>
      <c r="AD30" s="1028">
        <f>+V30*O30</f>
        <v>0</v>
      </c>
      <c r="AE30" s="1072">
        <f>+V30*P30</f>
        <v>0</v>
      </c>
      <c r="AF30" s="1068">
        <f>+V30*Q30</f>
        <v>0</v>
      </c>
      <c r="AG30" s="1068">
        <f>V30*R30</f>
        <v>0</v>
      </c>
      <c r="AH30" s="1077">
        <f t="shared" si="37"/>
        <v>0</v>
      </c>
      <c r="AI30" s="1405">
        <f t="shared" si="38"/>
        <v>0</v>
      </c>
      <c r="AJ30" s="1030">
        <f>IF(Tiere&gt;0,Tiere*U30,"")</f>
        <v>0</v>
      </c>
      <c r="AK30" s="1140" t="str">
        <f t="shared" ref="AK30:AK32" si="39">IF(B30="","",IF(COUNTIF(G30:N30,0)&gt;0,"?",""))</f>
        <v/>
      </c>
    </row>
    <row r="31" spans="1:181" ht="18" customHeight="1" thickBot="1" x14ac:dyDescent="0.25">
      <c r="A31" s="943"/>
      <c r="B31" s="100"/>
      <c r="C31" s="98">
        <v>47</v>
      </c>
      <c r="D31" s="68">
        <f>INDEX(Tabelle,$C31,1)</f>
        <v>0</v>
      </c>
      <c r="E31" s="69"/>
      <c r="F31" s="86" t="str">
        <f>IF(INDEX(Tabelle,$C31,22)="","",1)</f>
        <v/>
      </c>
      <c r="G31" s="1047" t="str">
        <f>IF(INDEX(Tabelle,$C31,2)="","",INDEX(Tabelle,$C31,2)/10)</f>
        <v/>
      </c>
      <c r="H31" s="1044">
        <f>ROUND(IF(Art=1,INDEX(Tabelle,$C31,3),INDEX(Tabelle,$C31,4)),2)</f>
        <v>0</v>
      </c>
      <c r="I31" s="1021">
        <f>ROUND(IF(Art=1,INDEX(Tabelle,$C31,7),INDEX(Tabelle,$C31,6)),2)</f>
        <v>0</v>
      </c>
      <c r="J31" s="1022">
        <f>IF(Art=1,INDEX(Tabelle,$C31,8),0)</f>
        <v>0</v>
      </c>
      <c r="K31" s="1021">
        <f>INDEX(Tabelle,$C31,12)</f>
        <v>0</v>
      </c>
      <c r="L31" s="1023">
        <f>IF(Art=1,INDEX(Tabelle,$C31,9),0)</f>
        <v>0</v>
      </c>
      <c r="M31" s="1021">
        <f>INDEX(Tabelle,$C31,10)</f>
        <v>0</v>
      </c>
      <c r="N31" s="1021">
        <f>INDEX(Tabelle,$C31,11)</f>
        <v>0</v>
      </c>
      <c r="O31" s="1064">
        <f>INDEX(Tabelle,$C31,13)</f>
        <v>0</v>
      </c>
      <c r="P31" s="1021">
        <f>INDEX(Tabelle,$C31,14)</f>
        <v>0</v>
      </c>
      <c r="Q31" s="1021">
        <f>INDEX(Tabelle,$C31,15)</f>
        <v>0</v>
      </c>
      <c r="R31" s="1021">
        <f>INDEX(Tabelle,$C31,16)</f>
        <v>0</v>
      </c>
      <c r="S31" s="1021">
        <f>INDEX(Tabelle,$C31,17)*R31</f>
        <v>0</v>
      </c>
      <c r="T31" s="1381" t="str">
        <f>IF(G31&lt;&gt;"",INDEX(Tabelle,$C31,25)/G31,"")</f>
        <v/>
      </c>
      <c r="U31" s="1024">
        <f>IF(G31="",0,IF(TM_FM=2,B31,B31/G31*100))</f>
        <v>0</v>
      </c>
      <c r="V31" s="1099">
        <f>IF(G31="",0,IF(TM_FM=1,B31,B31*G31/100))</f>
        <v>0</v>
      </c>
      <c r="W31" s="1091">
        <f>V31*H31</f>
        <v>0</v>
      </c>
      <c r="X31" s="1026">
        <f>V31*I31</f>
        <v>0</v>
      </c>
      <c r="Y31" s="1025">
        <f>V31*J31</f>
        <v>0</v>
      </c>
      <c r="Z31" s="1026">
        <f>+V31*K31</f>
        <v>0</v>
      </c>
      <c r="AA31" s="1070">
        <f>+V31*L31</f>
        <v>0</v>
      </c>
      <c r="AB31" s="1026">
        <f t="shared" si="36"/>
        <v>0</v>
      </c>
      <c r="AC31" s="1109">
        <f t="shared" si="36"/>
        <v>0</v>
      </c>
      <c r="AD31" s="1028">
        <f>+V31*O31</f>
        <v>0</v>
      </c>
      <c r="AE31" s="1028">
        <f>+V31*P31</f>
        <v>0</v>
      </c>
      <c r="AF31" s="1026">
        <f>+V31*Q31</f>
        <v>0</v>
      </c>
      <c r="AG31" s="1026">
        <f>V31*R31</f>
        <v>0</v>
      </c>
      <c r="AH31" s="1029">
        <f t="shared" si="37"/>
        <v>0</v>
      </c>
      <c r="AI31" s="1405">
        <f t="shared" si="38"/>
        <v>0</v>
      </c>
      <c r="AJ31" s="1030">
        <f>IF(Tiere&gt;0,Tiere*U31,"")</f>
        <v>0</v>
      </c>
      <c r="AK31" s="1140" t="str">
        <f t="shared" si="39"/>
        <v/>
      </c>
    </row>
    <row r="32" spans="1:181" ht="18" customHeight="1" thickBot="1" x14ac:dyDescent="0.25">
      <c r="A32" s="943"/>
      <c r="B32" s="96"/>
      <c r="C32" s="94">
        <v>191</v>
      </c>
      <c r="D32" s="73">
        <f>INDEX(Tabelle,$C32,1)</f>
        <v>0</v>
      </c>
      <c r="E32" s="74"/>
      <c r="F32" s="87" t="str">
        <f>IF(INDEX(Tabelle,$C32,22)="","",1)</f>
        <v/>
      </c>
      <c r="G32" s="1048" t="str">
        <f>IF(INDEX(Tabelle,$C32,2)="","",INDEX(Tabelle,$C32,2)/10)</f>
        <v/>
      </c>
      <c r="H32" s="1045">
        <f>ROUND(IF(Art=1,INDEX(Tabelle,$C32,3),INDEX(Tabelle,$C32,4)),2)</f>
        <v>0</v>
      </c>
      <c r="I32" s="1031">
        <f>ROUND(IF(Art=1,INDEX(Tabelle,$C32,7),INDEX(Tabelle,$C32,6)),2)</f>
        <v>0</v>
      </c>
      <c r="J32" s="1006">
        <f>IF(Art=1,INDEX(Tabelle,$C32,8),0)</f>
        <v>0</v>
      </c>
      <c r="K32" s="1031">
        <f>INDEX(Tabelle,$C32,12)</f>
        <v>0</v>
      </c>
      <c r="L32" s="1032">
        <f>IF(Art=1,INDEX(Tabelle,$C32,9),0)</f>
        <v>0</v>
      </c>
      <c r="M32" s="1031">
        <f>INDEX(Tabelle,$C32,10)</f>
        <v>0</v>
      </c>
      <c r="N32" s="1031">
        <f>INDEX(Tabelle,$C32,11)</f>
        <v>0</v>
      </c>
      <c r="O32" s="1031">
        <f>INDEX(Tabelle,$C32,13)</f>
        <v>0</v>
      </c>
      <c r="P32" s="1031">
        <f>INDEX(Tabelle,$C32,14)</f>
        <v>0</v>
      </c>
      <c r="Q32" s="1031">
        <f>INDEX(Tabelle,$C32,15)</f>
        <v>0</v>
      </c>
      <c r="R32" s="1031">
        <f>INDEX(Tabelle,$C32,16)</f>
        <v>0</v>
      </c>
      <c r="S32" s="1031">
        <f>INDEX(Tabelle,$C32,17)*R32</f>
        <v>0</v>
      </c>
      <c r="T32" s="1381" t="str">
        <f>IF(G32&lt;&gt;"",INDEX(Tabelle,$C32,25)/G32,"")</f>
        <v/>
      </c>
      <c r="U32" s="1033">
        <f>IF(G32="",0,IF(TM_FM=2,B32,B32/G32*100))</f>
        <v>0</v>
      </c>
      <c r="V32" s="1100">
        <f>IF(G32="",0,IF(TM_FM=1,B32,B32*G32/100))</f>
        <v>0</v>
      </c>
      <c r="W32" s="1036">
        <f>V32*H32</f>
        <v>0</v>
      </c>
      <c r="X32" s="1035">
        <f>V32*I32</f>
        <v>0</v>
      </c>
      <c r="Y32" s="1034">
        <f>V32*J32</f>
        <v>0</v>
      </c>
      <c r="Z32" s="1035">
        <f>+V32*K32</f>
        <v>0</v>
      </c>
      <c r="AA32" s="1071">
        <f>+V32*L32</f>
        <v>0</v>
      </c>
      <c r="AB32" s="1035">
        <f t="shared" si="36"/>
        <v>0</v>
      </c>
      <c r="AC32" s="1035">
        <f t="shared" si="36"/>
        <v>0</v>
      </c>
      <c r="AD32" s="1028">
        <f>+V32*O32</f>
        <v>0</v>
      </c>
      <c r="AE32" s="1037">
        <f>+V32*P32</f>
        <v>0</v>
      </c>
      <c r="AF32" s="1035">
        <f>+V32*Q32</f>
        <v>0</v>
      </c>
      <c r="AG32" s="1035">
        <f>V32*R32</f>
        <v>0</v>
      </c>
      <c r="AH32" s="1038">
        <f t="shared" si="37"/>
        <v>0</v>
      </c>
      <c r="AI32" s="1406">
        <f t="shared" si="38"/>
        <v>0</v>
      </c>
      <c r="AJ32" s="1039">
        <f>IF(Tiere&gt;0,Tiere*U32,"")</f>
        <v>0</v>
      </c>
      <c r="AK32" s="1140" t="str">
        <f t="shared" si="39"/>
        <v/>
      </c>
    </row>
    <row r="33" spans="1:181" ht="18" customHeight="1" thickBot="1" x14ac:dyDescent="0.25">
      <c r="A33" s="943"/>
      <c r="B33" s="918"/>
      <c r="C33" s="918"/>
      <c r="D33" s="918"/>
      <c r="E33" s="918"/>
      <c r="F33" s="918"/>
      <c r="G33" s="918"/>
      <c r="H33" s="918"/>
      <c r="I33" s="918"/>
      <c r="J33" s="918"/>
      <c r="K33" s="918"/>
      <c r="L33" s="918"/>
      <c r="M33" s="918"/>
      <c r="N33" s="1058" t="s">
        <v>32</v>
      </c>
      <c r="O33" s="1059"/>
      <c r="P33" s="1060"/>
      <c r="Q33" s="1060"/>
      <c r="R33" s="1060"/>
      <c r="S33" s="1061"/>
      <c r="T33" s="1060"/>
      <c r="U33" s="989">
        <f>SUM(U29:U32,U20:U25)</f>
        <v>0</v>
      </c>
      <c r="V33" s="1101">
        <f t="shared" ref="V33:AC33" si="40">SUM(V29:V32,V20:V25)</f>
        <v>0</v>
      </c>
      <c r="W33" s="1092">
        <f t="shared" si="40"/>
        <v>0</v>
      </c>
      <c r="X33" s="1062">
        <f t="shared" si="40"/>
        <v>0</v>
      </c>
      <c r="Y33" s="993">
        <f t="shared" si="40"/>
        <v>0</v>
      </c>
      <c r="Z33" s="1062">
        <f t="shared" si="40"/>
        <v>0</v>
      </c>
      <c r="AA33" s="1063">
        <f t="shared" si="40"/>
        <v>0</v>
      </c>
      <c r="AB33" s="1062">
        <f t="shared" si="40"/>
        <v>0</v>
      </c>
      <c r="AC33" s="1062">
        <f t="shared" si="40"/>
        <v>0</v>
      </c>
      <c r="AD33" s="1062">
        <f t="shared" ref="AD33:AJ33" si="41">SUM(AD29:AD32,AD20:AD25)</f>
        <v>0</v>
      </c>
      <c r="AE33" s="1062">
        <f t="shared" si="41"/>
        <v>0</v>
      </c>
      <c r="AF33" s="1062">
        <f t="shared" si="41"/>
        <v>0</v>
      </c>
      <c r="AG33" s="1062">
        <f t="shared" si="41"/>
        <v>0</v>
      </c>
      <c r="AH33" s="1086">
        <f t="shared" si="41"/>
        <v>0</v>
      </c>
      <c r="AI33" s="1074">
        <f t="shared" si="41"/>
        <v>0</v>
      </c>
      <c r="AJ33" s="1113">
        <f t="shared" si="41"/>
        <v>0</v>
      </c>
      <c r="AK33" s="1140"/>
    </row>
    <row r="34" spans="1:181" ht="18" customHeight="1" thickBot="1" x14ac:dyDescent="0.25">
      <c r="A34" s="943"/>
      <c r="B34" s="918"/>
      <c r="C34" s="918"/>
      <c r="D34" s="918"/>
      <c r="E34" s="918"/>
      <c r="F34" s="918"/>
      <c r="G34" s="918"/>
      <c r="H34" s="918"/>
      <c r="I34" s="918"/>
      <c r="J34" s="918"/>
      <c r="K34" s="918"/>
      <c r="L34" s="918"/>
      <c r="M34" s="918"/>
      <c r="N34" s="918"/>
      <c r="O34" s="918"/>
      <c r="P34" s="918"/>
      <c r="Q34" s="918"/>
      <c r="R34" s="918"/>
      <c r="S34" s="918"/>
      <c r="T34" s="918"/>
      <c r="U34" s="1076" t="s">
        <v>167</v>
      </c>
      <c r="V34" s="1103" t="str">
        <f>IF(V33=0,"",TM_Grundration/U33)</f>
        <v/>
      </c>
      <c r="W34" s="1114" t="str">
        <f>IF($V$33&gt;0,W33/$V$33,"")</f>
        <v/>
      </c>
      <c r="X34" s="1115" t="str">
        <f t="shared" ref="X34:AC34" si="42">IF($V$33&gt;0,X33/$V$33,"")</f>
        <v/>
      </c>
      <c r="Y34" s="1116" t="str">
        <f t="shared" si="42"/>
        <v/>
      </c>
      <c r="Z34" s="1115" t="str">
        <f t="shared" si="42"/>
        <v/>
      </c>
      <c r="AA34" s="1117" t="str">
        <f t="shared" si="42"/>
        <v/>
      </c>
      <c r="AB34" s="1115" t="str">
        <f t="shared" si="42"/>
        <v/>
      </c>
      <c r="AC34" s="1115" t="str">
        <f t="shared" si="42"/>
        <v/>
      </c>
      <c r="AD34" s="1115" t="str">
        <f>IF($V$33&gt;0,AD33/$V$33,"")</f>
        <v/>
      </c>
      <c r="AE34" s="1115" t="str">
        <f>IF($V$33&gt;0,AE33/$V$33,"")</f>
        <v/>
      </c>
      <c r="AF34" s="1115" t="str">
        <f>IF($V$33&gt;0,AF33/$V$33,"")</f>
        <v/>
      </c>
      <c r="AG34" s="1115" t="str">
        <f>IF($V$33&gt;0,AG33/$V$33,"")</f>
        <v/>
      </c>
      <c r="AH34" s="1115" t="str">
        <f>IF($V$33&gt;0,AH33/$V$33,"")</f>
        <v/>
      </c>
      <c r="AI34" s="915"/>
      <c r="AJ34" s="915"/>
      <c r="AK34" s="1140"/>
    </row>
    <row r="35" spans="1:181" ht="18" customHeight="1" thickBot="1" x14ac:dyDescent="0.25">
      <c r="A35" s="944"/>
      <c r="B35" s="945"/>
      <c r="C35" s="92"/>
      <c r="D35" s="1052" t="s">
        <v>339</v>
      </c>
      <c r="E35" s="1049"/>
      <c r="F35" s="1054"/>
      <c r="G35" s="942"/>
      <c r="H35" s="942"/>
      <c r="I35" s="914"/>
      <c r="J35" s="914"/>
      <c r="K35" s="918"/>
      <c r="L35" s="918"/>
      <c r="M35" s="916"/>
      <c r="N35" s="907"/>
      <c r="O35" s="907"/>
      <c r="P35" s="918"/>
      <c r="Q35" s="918"/>
      <c r="R35" s="918"/>
      <c r="S35" s="918"/>
      <c r="T35" s="918"/>
      <c r="U35" s="919"/>
      <c r="V35" s="920"/>
      <c r="W35" s="1078">
        <f>IF(W12=0,0,(W33-W14)/W12)</f>
        <v>0</v>
      </c>
      <c r="X35" s="1079">
        <f>IF(X12=0,0,(X33-X14)/X12)</f>
        <v>0</v>
      </c>
      <c r="Y35" s="907" t="s">
        <v>33</v>
      </c>
      <c r="Z35" s="915" t="str">
        <f>+IF(W33=0,"",Z33/$U33*0.001)</f>
        <v/>
      </c>
      <c r="AA35" s="915" t="str">
        <f>IF(U33=0,"",SUM(AA27:AA32)/U33)</f>
        <v/>
      </c>
      <c r="AB35" s="915" t="str">
        <f>IF(OR(AB33="k.A.",U33=0),"",+AB33/$U33*0.001)</f>
        <v/>
      </c>
      <c r="AC35" s="915" t="str">
        <f>IF(OR(AC33="k.A.",U33=0),"",+AC33/$U33*0.001)</f>
        <v/>
      </c>
      <c r="AD35" s="915"/>
      <c r="AE35" s="915" t="str">
        <f>+IF(U33=0,"",AE34/$U33*0.001)</f>
        <v/>
      </c>
      <c r="AF35" s="915" t="str">
        <f>+IF(X33=0,"",AF34/$U33*0.001)</f>
        <v/>
      </c>
      <c r="AG35" s="915" t="str">
        <f>+IF(X33=0,"",AG34/$U33*0.001)</f>
        <v/>
      </c>
      <c r="AH35" s="915" t="str">
        <f>+IF(Y33=0,"",AH34/$U33*0.001)</f>
        <v/>
      </c>
      <c r="AI35" s="915"/>
      <c r="AJ35" s="915"/>
      <c r="AK35" s="1141"/>
    </row>
    <row r="36" spans="1:181" s="895" customFormat="1" ht="5.25" customHeight="1" thickBot="1" x14ac:dyDescent="0.25">
      <c r="A36" s="889"/>
      <c r="B36" s="907"/>
      <c r="C36" s="907"/>
      <c r="D36" s="1055"/>
      <c r="E36" s="1056"/>
      <c r="F36" s="1057"/>
      <c r="G36" s="914"/>
      <c r="H36" s="914"/>
      <c r="I36" s="914"/>
      <c r="J36" s="914"/>
      <c r="K36" s="918"/>
      <c r="L36" s="918"/>
      <c r="M36" s="916"/>
      <c r="N36" s="907"/>
      <c r="O36" s="907"/>
      <c r="P36" s="918"/>
      <c r="Q36" s="918"/>
      <c r="R36" s="918"/>
      <c r="S36" s="918"/>
      <c r="T36" s="918"/>
      <c r="U36" s="919"/>
      <c r="V36" s="920"/>
      <c r="W36" s="919"/>
      <c r="X36" s="919"/>
      <c r="Y36" s="907"/>
      <c r="Z36" s="916"/>
      <c r="AA36" s="907"/>
      <c r="AB36" s="907"/>
      <c r="AC36" s="907"/>
      <c r="AD36" s="907"/>
      <c r="AE36" s="916"/>
      <c r="AF36" s="916"/>
      <c r="AG36" s="907"/>
      <c r="AH36" s="907"/>
      <c r="AI36" s="907"/>
      <c r="AJ36" s="907"/>
      <c r="AK36" s="1133"/>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c r="EA36" s="509"/>
      <c r="EB36" s="509"/>
      <c r="EC36" s="509"/>
      <c r="ED36" s="509"/>
      <c r="EE36" s="509"/>
      <c r="EF36" s="509"/>
      <c r="EG36" s="509"/>
      <c r="EH36" s="509"/>
      <c r="EI36" s="509"/>
      <c r="EJ36" s="509"/>
      <c r="EK36" s="509"/>
      <c r="EL36" s="509"/>
      <c r="EM36" s="509"/>
      <c r="EN36" s="509"/>
      <c r="EO36" s="509"/>
      <c r="EP36" s="509"/>
      <c r="EQ36" s="509"/>
      <c r="ER36" s="509"/>
      <c r="ES36" s="509"/>
      <c r="ET36" s="509"/>
      <c r="EU36" s="509"/>
      <c r="EV36" s="509"/>
      <c r="EW36" s="509"/>
      <c r="EX36" s="509"/>
      <c r="EY36" s="509"/>
      <c r="EZ36" s="509"/>
      <c r="FA36" s="509"/>
      <c r="FB36" s="509"/>
      <c r="FC36" s="509"/>
      <c r="FD36" s="509"/>
      <c r="FE36" s="509"/>
      <c r="FF36" s="509"/>
      <c r="FG36" s="509"/>
      <c r="FH36" s="509"/>
      <c r="FI36" s="509"/>
      <c r="FJ36" s="509"/>
      <c r="FK36" s="509"/>
      <c r="FL36" s="509"/>
      <c r="FM36" s="509"/>
      <c r="FN36" s="509"/>
      <c r="FO36" s="509"/>
      <c r="FP36" s="509"/>
      <c r="FQ36" s="509"/>
      <c r="FR36" s="509"/>
      <c r="FS36" s="509"/>
      <c r="FT36" s="509"/>
      <c r="FU36" s="509"/>
      <c r="FV36" s="509"/>
      <c r="FW36" s="509"/>
      <c r="FX36" s="509"/>
      <c r="FY36" s="509"/>
    </row>
    <row r="37" spans="1:181" ht="18.75" customHeight="1" thickBot="1" x14ac:dyDescent="0.25">
      <c r="A37" s="943"/>
      <c r="B37" s="95"/>
      <c r="C37" s="93">
        <v>174</v>
      </c>
      <c r="D37" s="60">
        <f>INDEX(Tabelle,$C37,1)</f>
        <v>0</v>
      </c>
      <c r="E37" s="61"/>
      <c r="F37" s="62" t="str">
        <f>IF(INDEX(Tabelle,$C37,22)="","",1)</f>
        <v/>
      </c>
      <c r="G37" s="1046" t="str">
        <f>IF(INDEX(Tabelle,$C37,2)="","",INDEX(Tabelle,$C37,2)/10)</f>
        <v/>
      </c>
      <c r="H37" s="1043">
        <f>ROUND(IF(Art=1,INDEX(Tabelle,$C37,3),INDEX(Tabelle,$C37,4)),2)</f>
        <v>0</v>
      </c>
      <c r="I37" s="1011">
        <f>ROUND(IF(Art=1,INDEX(Tabelle,$C37,7),INDEX(Tabelle,$C37,6)),2)</f>
        <v>0</v>
      </c>
      <c r="J37" s="1011">
        <f>IF(Art=1,INDEX(Tabelle,$C37,8),0)</f>
        <v>0</v>
      </c>
      <c r="K37" s="1011">
        <f>INDEX(Tabelle,$C37,12)</f>
        <v>0</v>
      </c>
      <c r="L37" s="1013">
        <f>IF(Art=1,INDEX(Tabelle,$C37,9),0)</f>
        <v>0</v>
      </c>
      <c r="M37" s="1011">
        <f>INDEX(Tabelle,$C37,10)</f>
        <v>0</v>
      </c>
      <c r="N37" s="1011">
        <f>INDEX(Tabelle,$C37,11)</f>
        <v>0</v>
      </c>
      <c r="O37" s="1011">
        <f>INDEX(Tabelle,$C37,13)</f>
        <v>0</v>
      </c>
      <c r="P37" s="1011">
        <f>INDEX(Tabelle,$C37,14)</f>
        <v>0</v>
      </c>
      <c r="Q37" s="1011">
        <f>INDEX(Tabelle,$C37,15)</f>
        <v>0</v>
      </c>
      <c r="R37" s="1011">
        <f>INDEX(Tabelle,$C37,16)</f>
        <v>0</v>
      </c>
      <c r="S37" s="1011">
        <f>INDEX(Tabelle,$C37,17)*R37</f>
        <v>0</v>
      </c>
      <c r="T37" s="1381" t="str">
        <f>IF(G37&lt;&gt;"",INDEX(Tabelle,$C37,25)/G37,"")</f>
        <v/>
      </c>
      <c r="U37" s="1014">
        <f>IF(G37="",0,IF(TM_FM=2,B37,B37/G37*100))</f>
        <v>0</v>
      </c>
      <c r="V37" s="1104">
        <f>IF(G37="",0,IF(TM_FM=1,B37,B37*G37/100))</f>
        <v>0</v>
      </c>
      <c r="W37" s="1017">
        <f>V37*H37</f>
        <v>0</v>
      </c>
      <c r="X37" s="1016">
        <f>V37*I37</f>
        <v>0</v>
      </c>
      <c r="Y37" s="1015">
        <f>V37*J37</f>
        <v>0</v>
      </c>
      <c r="Z37" s="1016">
        <f>+V37*K37</f>
        <v>0</v>
      </c>
      <c r="AA37" s="1015">
        <f>+V37*L37</f>
        <v>0</v>
      </c>
      <c r="AB37" s="1016">
        <f>IF(M37="-","k.A.",M37*$V37)</f>
        <v>0</v>
      </c>
      <c r="AC37" s="1016">
        <f>IF(N37="-","k.A.",N37*$V37)</f>
        <v>0</v>
      </c>
      <c r="AD37" s="1018">
        <f>+V37*O37</f>
        <v>0</v>
      </c>
      <c r="AE37" s="1016">
        <f>+V37*P37</f>
        <v>0</v>
      </c>
      <c r="AF37" s="1016">
        <f>+V37*Q37</f>
        <v>0</v>
      </c>
      <c r="AG37" s="1016">
        <f>V37*R37</f>
        <v>0</v>
      </c>
      <c r="AH37" s="1019">
        <f t="shared" ref="AH37:AH38" si="43">+S37*V37</f>
        <v>0</v>
      </c>
      <c r="AI37" s="1382">
        <f t="shared" ref="AI37:AI38" si="44">IF(V37=0,0,V37*T37)</f>
        <v>0</v>
      </c>
      <c r="AJ37" s="1020">
        <f>IF(Tiere&gt;0,Tiere*U37,"")</f>
        <v>0</v>
      </c>
      <c r="AK37" s="1140" t="str">
        <f>IF(B37="","",IF(COUNTIF(G37:N37,0)&gt;0,"?",""))</f>
        <v/>
      </c>
    </row>
    <row r="38" spans="1:181" ht="18.75" customHeight="1" thickBot="1" x14ac:dyDescent="0.25">
      <c r="A38" s="943"/>
      <c r="B38" s="96"/>
      <c r="C38" s="94">
        <v>191</v>
      </c>
      <c r="D38" s="60">
        <f>INDEX(Tabelle,$C38,1)</f>
        <v>0</v>
      </c>
      <c r="E38" s="61"/>
      <c r="F38" s="62" t="str">
        <f>IF(INDEX(Tabelle,$C38,22)="","",1)</f>
        <v/>
      </c>
      <c r="G38" s="1048" t="str">
        <f>IF(INDEX(Tabelle,$C38,2)="","",INDEX(Tabelle,$C38,2)/10)</f>
        <v/>
      </c>
      <c r="H38" s="1045">
        <f>ROUND(IF(Art=1,INDEX(Tabelle,$C38,3),INDEX(Tabelle,$C38,4)),2)</f>
        <v>0</v>
      </c>
      <c r="I38" s="1031">
        <f>ROUND(IF(Art=1,INDEX(Tabelle,$C38,7),INDEX(Tabelle,$C38,6)),2)</f>
        <v>0</v>
      </c>
      <c r="J38" s="1031">
        <f>IF(Art=1,INDEX(Tabelle,$C38,8),0)</f>
        <v>0</v>
      </c>
      <c r="K38" s="1031">
        <f>INDEX(Tabelle,$C38,12)</f>
        <v>0</v>
      </c>
      <c r="L38" s="1032">
        <f>IF(Art=1,INDEX(Tabelle,$C38,9),0)</f>
        <v>0</v>
      </c>
      <c r="M38" s="1031">
        <f>INDEX(Tabelle,$C38,10)</f>
        <v>0</v>
      </c>
      <c r="N38" s="1031">
        <f>INDEX(Tabelle,$C38,11)</f>
        <v>0</v>
      </c>
      <c r="O38" s="1031">
        <f>INDEX(Tabelle,$C38,13)</f>
        <v>0</v>
      </c>
      <c r="P38" s="1031">
        <f>INDEX(Tabelle,$C38,14)</f>
        <v>0</v>
      </c>
      <c r="Q38" s="1031">
        <f>INDEX(Tabelle,$C38,15)</f>
        <v>0</v>
      </c>
      <c r="R38" s="1031">
        <f>INDEX(Tabelle,$C38,16)</f>
        <v>0</v>
      </c>
      <c r="S38" s="1031">
        <f>INDEX(Tabelle,$C38,17)*R38</f>
        <v>0</v>
      </c>
      <c r="T38" s="1381" t="str">
        <f>IF(G38&lt;&gt;"",INDEX(Tabelle,$C38,25)/G38,"")</f>
        <v/>
      </c>
      <c r="U38" s="1033">
        <f>IF(G38="",0,IF(TM_FM=2,B38,B38/G38*100))</f>
        <v>0</v>
      </c>
      <c r="V38" s="1105">
        <f>IF(G38="",0,IF(TM_FM=1,B38,B38*G38/100))</f>
        <v>0</v>
      </c>
      <c r="W38" s="1036">
        <f>V38*H38</f>
        <v>0</v>
      </c>
      <c r="X38" s="1035">
        <f>V38*I38</f>
        <v>0</v>
      </c>
      <c r="Y38" s="1034">
        <f>V38*J38</f>
        <v>0</v>
      </c>
      <c r="Z38" s="1035">
        <f>+V38*K38</f>
        <v>0</v>
      </c>
      <c r="AA38" s="1034">
        <f>+V38*L38</f>
        <v>0</v>
      </c>
      <c r="AB38" s="1035">
        <f>IF(M38="-","k.A.",M38*$V38)</f>
        <v>0</v>
      </c>
      <c r="AC38" s="1035">
        <f>IF(N38="-","k.A.",N38*$V38)</f>
        <v>0</v>
      </c>
      <c r="AD38" s="1028">
        <f>+V38*O38</f>
        <v>0</v>
      </c>
      <c r="AE38" s="1035">
        <f>+V38*P38</f>
        <v>0</v>
      </c>
      <c r="AF38" s="1035">
        <f>+V38*Q38</f>
        <v>0</v>
      </c>
      <c r="AG38" s="1035">
        <f>V38*R38</f>
        <v>0</v>
      </c>
      <c r="AH38" s="1038">
        <f t="shared" si="43"/>
        <v>0</v>
      </c>
      <c r="AI38" s="1407">
        <f t="shared" si="44"/>
        <v>0</v>
      </c>
      <c r="AJ38" s="1039">
        <f>IF(Tiere&gt;0,Tiere*U38,"")</f>
        <v>0</v>
      </c>
      <c r="AK38" s="1140" t="str">
        <f t="shared" ref="AK38" si="45">IF(B38="","",IF(COUNTIF(G38:N38,0)&gt;0,"?",""))</f>
        <v/>
      </c>
    </row>
    <row r="39" spans="1:181" s="511" customFormat="1" ht="42" customHeight="1" thickBot="1" x14ac:dyDescent="0.25">
      <c r="A39" s="947"/>
      <c r="B39" s="1073" t="str">
        <f>B18&amp;", "&amp;B19</f>
        <v>TM, kg</v>
      </c>
      <c r="C39" s="88"/>
      <c r="D39" s="940"/>
      <c r="E39" s="940"/>
      <c r="F39" s="941"/>
      <c r="G39" s="941"/>
      <c r="H39" s="914"/>
      <c r="I39" s="914"/>
      <c r="J39" s="914"/>
      <c r="K39" s="921"/>
      <c r="L39" s="914"/>
      <c r="M39" s="914"/>
      <c r="N39" s="914"/>
      <c r="O39" s="914"/>
      <c r="P39" s="918"/>
      <c r="Q39" s="918"/>
      <c r="R39" s="918"/>
      <c r="S39" s="918">
        <f>IF(OR(LakNr=0,LaktTag=0,LG=0,M_kg=0,TS=0),0,(2.274-0.898+IF(LakNr=1,-0.658,0)+(-5.445+5.298*(1-EXP(-0.0184*LaktTag)))+(LG*(0.0173-0.0000514*LaktTag+0.0000000999*LaktTag^2))+ (IF(M_kg="t",0,M_kg*(0.201+0.000808*LaktTag-0.000001299*LaktTag^2)))+(((TS-TM_GF)/TS*100)*0.0631-0.0002096*LaktTag+0.0000001213*LaktTag^2)+(0.609*MJ_GF/TM_GF))*0.92+0.71)</f>
        <v>0</v>
      </c>
      <c r="T39" s="918"/>
      <c r="U39" s="1075" t="s">
        <v>170</v>
      </c>
      <c r="V39" s="1106" t="s">
        <v>171</v>
      </c>
      <c r="W39" s="1094" t="str">
        <f>+W10&amp;"          "&amp;W11</f>
        <v>NEL          MJ</v>
      </c>
      <c r="X39" s="1080" t="str">
        <f>+X10&amp;"            "&amp;X11</f>
        <v>nXP            g</v>
      </c>
      <c r="Y39" s="1080" t="str">
        <f>" "&amp;Y10&amp;"            "&amp;Y11</f>
        <v xml:space="preserve"> RNB            -20 bis 
+50 g</v>
      </c>
      <c r="Z39" s="1080" t="str">
        <f>+Z10&amp;"             "&amp;Z11</f>
        <v>NFC             &lt;400g/kg</v>
      </c>
      <c r="AA39" s="1080" t="str">
        <f>+AA10&amp;"          "&amp;AA11</f>
        <v>SW          &gt;1,2</v>
      </c>
      <c r="AB39" s="1080" t="str">
        <f>+AB10&amp;"          "&amp;AB11</f>
        <v>ADF          &gt;200</v>
      </c>
      <c r="AC39" s="1081" t="str">
        <f>+AC10&amp;"          "&amp;AC11</f>
        <v>NDF          &gt;300</v>
      </c>
      <c r="AD39" s="1080" t="str">
        <f>+AD10&amp;"          "&amp;AD11</f>
        <v>XS          &lt;350</v>
      </c>
      <c r="AE39" s="1080" t="str">
        <f>+AE10&amp;"          "&amp;AE11</f>
        <v>XZ          &lt;350</v>
      </c>
      <c r="AF39" s="1080" t="str">
        <f>+AF10&amp;"                        "&amp;AF11</f>
        <v>XL                        &lt;40</v>
      </c>
      <c r="AG39" s="1080" t="str">
        <f>+AG10&amp;"          "&amp;AG11</f>
        <v>XF          &gt;160</v>
      </c>
      <c r="AH39" s="1004" t="str">
        <f>+AH10&amp;"          "&amp;AH11</f>
        <v>sXF          &gt;100</v>
      </c>
      <c r="AI39" s="1401"/>
      <c r="AJ39" s="1081" t="s">
        <v>462</v>
      </c>
      <c r="AK39" s="1135"/>
      <c r="AL39" s="50"/>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c r="BP39" s="509"/>
      <c r="BQ39" s="509"/>
      <c r="BR39" s="509"/>
      <c r="BS39" s="509"/>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509"/>
      <c r="DQ39" s="509"/>
      <c r="DR39" s="509"/>
      <c r="DS39" s="509"/>
      <c r="DT39" s="509"/>
      <c r="DU39" s="509"/>
      <c r="DV39" s="509"/>
      <c r="DW39" s="509"/>
      <c r="DX39" s="509"/>
      <c r="DY39" s="509"/>
      <c r="DZ39" s="509"/>
      <c r="EA39" s="509"/>
      <c r="EB39" s="509"/>
      <c r="EC39" s="509"/>
      <c r="ED39" s="509"/>
      <c r="EE39" s="509"/>
      <c r="EF39" s="509"/>
      <c r="EG39" s="509"/>
      <c r="EH39" s="509"/>
      <c r="EI39" s="509"/>
      <c r="EJ39" s="509"/>
      <c r="EK39" s="509"/>
      <c r="EL39" s="509"/>
      <c r="EM39" s="509"/>
      <c r="EN39" s="509"/>
      <c r="EO39" s="509"/>
      <c r="EP39" s="509"/>
      <c r="EQ39" s="509"/>
      <c r="ER39" s="509"/>
      <c r="ES39" s="509"/>
      <c r="ET39" s="509"/>
      <c r="EU39" s="509"/>
      <c r="EV39" s="509"/>
      <c r="EW39" s="509"/>
      <c r="EX39" s="509"/>
      <c r="EY39" s="509"/>
      <c r="EZ39" s="509"/>
      <c r="FA39" s="509"/>
      <c r="FB39" s="509"/>
      <c r="FC39" s="509"/>
      <c r="FD39" s="509"/>
      <c r="FE39" s="509"/>
      <c r="FF39" s="509"/>
      <c r="FG39" s="509"/>
      <c r="FH39" s="509"/>
      <c r="FI39" s="509"/>
      <c r="FJ39" s="509"/>
      <c r="FK39" s="509"/>
      <c r="FL39" s="509"/>
      <c r="FM39" s="509"/>
      <c r="FN39" s="509"/>
      <c r="FO39" s="509"/>
      <c r="FP39" s="509"/>
      <c r="FQ39" s="509"/>
      <c r="FR39" s="509"/>
      <c r="FS39" s="509"/>
      <c r="FT39" s="509"/>
      <c r="FU39" s="509"/>
      <c r="FV39" s="509"/>
      <c r="FW39" s="509"/>
      <c r="FX39" s="509"/>
      <c r="FY39" s="509"/>
    </row>
    <row r="40" spans="1:181" ht="17.25" customHeight="1" thickBot="1" x14ac:dyDescent="0.25">
      <c r="A40" s="943"/>
      <c r="B40" s="1074">
        <f>SUM(B20:B25,B29:B32,B37:B38)</f>
        <v>1</v>
      </c>
      <c r="C40" s="81"/>
      <c r="D40" s="954"/>
      <c r="E40" s="954"/>
      <c r="F40" s="954"/>
      <c r="G40" s="954"/>
      <c r="H40" s="954"/>
      <c r="I40" s="954"/>
      <c r="J40" s="954"/>
      <c r="K40" s="954"/>
      <c r="L40" s="954"/>
      <c r="M40" s="954"/>
      <c r="N40" s="1058" t="s">
        <v>32</v>
      </c>
      <c r="O40" s="1059"/>
      <c r="P40" s="1060"/>
      <c r="Q40" s="1060"/>
      <c r="R40" s="1060"/>
      <c r="S40" s="1060"/>
      <c r="T40" s="1060"/>
      <c r="U40" s="1088">
        <f t="shared" ref="U40:AA40" si="46">U33+U37+U38</f>
        <v>0</v>
      </c>
      <c r="V40" s="1107">
        <f t="shared" si="46"/>
        <v>0</v>
      </c>
      <c r="W40" s="1095">
        <f t="shared" si="46"/>
        <v>0</v>
      </c>
      <c r="X40" s="1089">
        <f t="shared" si="46"/>
        <v>0</v>
      </c>
      <c r="Y40" s="1087">
        <f t="shared" si="46"/>
        <v>0</v>
      </c>
      <c r="Z40" s="1089">
        <f t="shared" si="46"/>
        <v>0</v>
      </c>
      <c r="AA40" s="1087">
        <f t="shared" si="46"/>
        <v>0</v>
      </c>
      <c r="AB40" s="1089">
        <f t="shared" ref="AB40:AI40" si="47">IF( OR(,AB33="k.A.",AB37="k.A.",AB38="k.A."),"k.A.",SUM(AB33,AB37:AB38))</f>
        <v>0</v>
      </c>
      <c r="AC40" s="1089">
        <f t="shared" si="47"/>
        <v>0</v>
      </c>
      <c r="AD40" s="1089">
        <f t="shared" si="47"/>
        <v>0</v>
      </c>
      <c r="AE40" s="1089">
        <f t="shared" si="47"/>
        <v>0</v>
      </c>
      <c r="AF40" s="1089">
        <f t="shared" si="47"/>
        <v>0</v>
      </c>
      <c r="AG40" s="1089">
        <f t="shared" si="47"/>
        <v>0</v>
      </c>
      <c r="AH40" s="1090">
        <f t="shared" si="47"/>
        <v>0</v>
      </c>
      <c r="AI40" s="1392">
        <f t="shared" si="47"/>
        <v>0</v>
      </c>
      <c r="AJ40" s="1089">
        <f>SUM(AJ37:AJ38,AJ33,AJ26)</f>
        <v>0</v>
      </c>
      <c r="AK40" s="1140"/>
    </row>
    <row r="41" spans="1:181" ht="17.25" customHeight="1" thickBot="1" x14ac:dyDescent="0.25">
      <c r="A41" s="943"/>
      <c r="B41" s="907"/>
      <c r="C41" s="81"/>
      <c r="D41" s="954"/>
      <c r="E41" s="954"/>
      <c r="F41" s="954"/>
      <c r="G41" s="954"/>
      <c r="H41" s="954"/>
      <c r="I41" s="954"/>
      <c r="J41" s="954"/>
      <c r="K41" s="954"/>
      <c r="L41" s="954"/>
      <c r="M41" s="954"/>
      <c r="N41" s="907"/>
      <c r="O41" s="907"/>
      <c r="P41" s="907"/>
      <c r="Q41" s="907"/>
      <c r="R41" s="939" t="s">
        <v>143</v>
      </c>
      <c r="S41" s="921">
        <f>IF(OR(LakNr=0,LaktTag=0,LG=0,M_kg=0,TS=0),0,(2.274-1.391+IF(LakNr=1,-0.658,0)+(-5.445+5.298*(1-EXP(-0.0184*LaktTag)))+(LG*(0.0173-0.0000514*LaktTag+0.0000000999*LaktTag^2))+ (IF(M_kg="t",0,M_kg*(0.201+0.000808*LaktTag-0.000001299*LaktTag^2)))+(((TS-TM_GF)/TS*100)*0.0631-0.0002096*LaktTag+0.0000001213*LaktTag^2)+(0.609*MJ_GF/TM_GF))*0.92+0.71)</f>
        <v>0</v>
      </c>
      <c r="T41" s="921"/>
      <c r="U41" s="1119" t="s">
        <v>384</v>
      </c>
      <c r="V41" s="1120" t="e">
        <f>IF(V40&lt;ITmin*V15,ROUND((V40-V15)/V15,0),IF(V40&lt;ITmin*1.05*V15,"!",IF(V40&gt;ITmax*V15,"+"&amp;ROUND((V40-V15)/V15*100,0)&amp;"%",IF(V40&gt;ITmax*0.95*V15,"!",""))))</f>
        <v>#VALUE!</v>
      </c>
      <c r="W41" s="1383" t="str">
        <f>IF(W40&lt;NELmin*W15,ROUND((W40-W15)/W15,0),IF(W40&lt;NELmin*1.05*W15,"!",IF(W40&gt;NELmax*W15,"+"&amp;ROUND((W40-W15)/W15*100,0)&amp;"%",IF(W40&gt;NELmax*0.95*W15,"!",""))))</f>
        <v/>
      </c>
      <c r="X41" s="1384" t="str">
        <f>IF(X40&lt;nXPmin*X15,ROUND((X40-X15)/X15,0),IF(X40&lt;nXPmin*1.05*X15,"!",IF(X40&gt;nXPmax*X15,"+"&amp;ROUND((X40-X15)/X15*100,0)&amp;"%",IF(X40&gt;nXPmax*0.95*X15,"!",""))))</f>
        <v/>
      </c>
      <c r="Y41" s="1384" t="str">
        <f>IF(Y40&lt;RNBmin,(Y40-RNBmin)/RNBmin,IF(Y40&lt;RNBmin*0.95,"!",IF(Y40&gt;RNBmax,"+"&amp;ROUND((Y40-RNBmax)/RNBmax*100,0)&amp;"%",IF(Y40&gt;RNBmax*0.95,"!",""))))</f>
        <v/>
      </c>
      <c r="Z41" s="1384" t="e">
        <f>IF(Z42&gt;NFCmax,"+"&amp;ROUND((Z42-NFCmax)/NFCmax*100,0)&amp;"%",IF(Z42&gt;NFCmax*0.95,"!",""))</f>
        <v>#VALUE!</v>
      </c>
      <c r="AA41" s="1384" t="str">
        <f>IF(AA42&lt;SWmin,ROUND((AA42-SWmin)/SWmin*100&amp;"%",0),IF(AA42&lt;SWmin*1.05,"!",""))</f>
        <v/>
      </c>
      <c r="AB41" s="1385" t="str">
        <f>IF(AB42&lt;ADFmin,ROUND((AB42-ADFmin)/ADFmin*100,0)&amp;"%",IF(AB42&lt;ADFmin*1.05,"!",""))</f>
        <v/>
      </c>
      <c r="AC41" s="1386" t="str">
        <f>IF(AC42&lt;NDFmin,ROUND((AC42-NDFmin)/NDFmin*100,0)&amp;"%",IF(AC42&lt;NDFmin*1.05,"!",""))</f>
        <v/>
      </c>
      <c r="AD41" s="1384" t="e">
        <f>IF(AD42&gt;XSmax,"+"&amp;ROUND((AD42-XSmax)/XSmax*100,0)&amp;"%",IF(AD42&gt;XSmax*0.95,"!",""))</f>
        <v>#VALUE!</v>
      </c>
      <c r="AE41" s="1384" t="e">
        <f>IF(AE42&gt;XZmax,"+"&amp;ROUND((AE42-XZmax)/XZmax*100,0)&amp;"%",IF(AE42&gt;XZmax*0.95,"!",""))</f>
        <v>#VALUE!</v>
      </c>
      <c r="AF41" s="1384" t="e">
        <f>IF(AF42&gt;XLmax,"+"&amp;ROUND((AF42-XLmax)/XLmax*100,0)&amp;"%",IF(AF42&gt;XLmax*0.95,"!",""))</f>
        <v>#VALUE!</v>
      </c>
      <c r="AG41" s="1386" t="str">
        <f>IF(AG42&lt;XFmin,ROUND((AG42-XFmin)/XFmin*100,0)&amp;"%",IF(AG42&lt;XFmin*1.05,"!",""))</f>
        <v/>
      </c>
      <c r="AH41" s="1399" t="str">
        <f>IF(AH42&lt;sXFmin,ROUND((AH42-sXFmin)/sXFmin*100,0)&amp;"%",IF(AH42&lt;sXFmin*1.05,"!",""))</f>
        <v/>
      </c>
      <c r="AI41" s="1402"/>
      <c r="AJ41" s="1083"/>
      <c r="AK41" s="1140"/>
    </row>
    <row r="42" spans="1:181" ht="17.25" customHeight="1" thickBot="1" x14ac:dyDescent="0.25">
      <c r="A42" s="943"/>
      <c r="B42" s="907"/>
      <c r="C42" s="907"/>
      <c r="D42" s="921"/>
      <c r="E42" s="921"/>
      <c r="F42" s="921"/>
      <c r="G42" s="921"/>
      <c r="H42" s="921"/>
      <c r="I42" s="921"/>
      <c r="J42" s="921"/>
      <c r="K42" s="921"/>
      <c r="L42" s="921"/>
      <c r="M42" s="921"/>
      <c r="N42" s="907"/>
      <c r="O42" s="907"/>
      <c r="P42" s="907"/>
      <c r="Q42" s="907"/>
      <c r="R42" s="939" t="s">
        <v>143</v>
      </c>
      <c r="S42" s="921">
        <f>IF(OR(LakNr=0,LaktTag=0,LG=0,M_kg=0,TS=0),0,(2.274-1.391+IF(LakNr=1,-0.658,0)+(-5.445+5.298*(1-EXP(-0.0184*LaktTag)))+(LG*(0.0173-0.0000514*LaktTag+0.0000000999*LaktTag^2))+ (IF(M_kg="t",0,M_kg*(0.201+0.000808*LaktTag-0.000001299*LaktTag^2)))+(((TS-TM_GF)/TS*100)*0.0631-0.0002096*LaktTag+0.0000001213*LaktTag^2)+(0.609*MJ_GF/TM_GF))*0.92+0.71)</f>
        <v>0</v>
      </c>
      <c r="T42" s="921"/>
      <c r="U42" s="1082" t="s">
        <v>167</v>
      </c>
      <c r="V42" s="1108" t="str">
        <f>IF(V40=0,"",TS/U40)</f>
        <v/>
      </c>
      <c r="W42" s="1387" t="str">
        <f t="shared" ref="W42:AI42" si="48">IF($V$40&gt;0,W40/$V$40,"")</f>
        <v/>
      </c>
      <c r="X42" s="1388" t="str">
        <f t="shared" si="48"/>
        <v/>
      </c>
      <c r="Y42" s="1389" t="str">
        <f t="shared" si="48"/>
        <v/>
      </c>
      <c r="Z42" s="1388" t="str">
        <f t="shared" si="48"/>
        <v/>
      </c>
      <c r="AA42" s="1390" t="str">
        <f t="shared" si="48"/>
        <v/>
      </c>
      <c r="AB42" s="1388" t="str">
        <f t="shared" si="48"/>
        <v/>
      </c>
      <c r="AC42" s="1388" t="str">
        <f t="shared" si="48"/>
        <v/>
      </c>
      <c r="AD42" s="1388" t="str">
        <f t="shared" si="48"/>
        <v/>
      </c>
      <c r="AE42" s="1388" t="str">
        <f t="shared" si="48"/>
        <v/>
      </c>
      <c r="AF42" s="1388" t="str">
        <f t="shared" si="48"/>
        <v/>
      </c>
      <c r="AG42" s="1388" t="str">
        <f t="shared" si="48"/>
        <v/>
      </c>
      <c r="AH42" s="1400" t="str">
        <f t="shared" si="48"/>
        <v/>
      </c>
      <c r="AI42" s="1403" t="str">
        <f t="shared" si="48"/>
        <v/>
      </c>
      <c r="AJ42" s="1083"/>
      <c r="AK42" s="1140"/>
    </row>
    <row r="43" spans="1:181" ht="17.25" customHeight="1" thickBot="1" x14ac:dyDescent="0.25">
      <c r="A43" s="944"/>
      <c r="B43" s="907"/>
      <c r="C43" s="907"/>
      <c r="D43" s="921"/>
      <c r="E43" s="921"/>
      <c r="F43" s="921"/>
      <c r="G43" s="921"/>
      <c r="H43" s="921"/>
      <c r="I43" s="921"/>
      <c r="J43" s="921"/>
      <c r="K43" s="921"/>
      <c r="L43" s="921"/>
      <c r="M43" s="921"/>
      <c r="N43" s="907"/>
      <c r="O43" s="907"/>
      <c r="P43" s="907"/>
      <c r="Q43" s="907"/>
      <c r="R43" s="939" t="s">
        <v>144</v>
      </c>
      <c r="S43" s="921">
        <f>IF(OR(LakNr=0,LaktTag=0,LG=0,M_kg=0,TS=0),0,(3.878-1.826+IF(LakNr=1,-0.728,0)+(-4.287+4.153*(1-EXP(-0.01486*LaktTag)))+(LG*(0.0148-0.0000474*LaktTag+0.0000000904*LaktTag^2))+(IF(M_kg="t",0,M_kg*(0.0825+0.0008098*LaktTag-0.000000966*LaktTag^2)))+((TS-TM_GF)*(0.6962-0.0023289*LaktTag+0.0000040634*LaktTag^2))+(0.858*MJ_GF/TM_GF))*0.93+0.47)</f>
        <v>0</v>
      </c>
      <c r="T43" s="921"/>
      <c r="U43" s="919"/>
      <c r="V43" s="1118" t="str">
        <f>IF(V15="Daten?","",IF(OR(V40&gt;1.1*V15,V40&lt;0.9*V15),"Die TM-Aufnahme sollte überprüft werden!","Soll "&amp;ROUND(V15,1)))</f>
        <v/>
      </c>
      <c r="W43" s="1078">
        <f>IF(W12=0,0,(W40-W14)/W12)</f>
        <v>0</v>
      </c>
      <c r="X43" s="1079">
        <f>IF(X12=0,0,(X40-X14)/X12)</f>
        <v>0</v>
      </c>
      <c r="Y43" s="907" t="s">
        <v>33</v>
      </c>
      <c r="Z43" s="921" t="str">
        <f>+AA42</f>
        <v/>
      </c>
      <c r="AA43" s="915"/>
      <c r="AB43" s="915" t="str">
        <f>IF(OR(AC40="k.A.",U40=0),"",+AC40/$U40*0.001)</f>
        <v/>
      </c>
      <c r="AC43" s="921" t="str">
        <f>IF(W40=0,"",+Z40/$U40*0.001)</f>
        <v/>
      </c>
      <c r="AD43" s="921"/>
      <c r="AE43" s="921" t="str">
        <f>IF(U40=0,"",+AE40/$U40*0.001)</f>
        <v/>
      </c>
      <c r="AF43" s="921"/>
      <c r="AG43" s="921" t="str">
        <f>IF(X40=0,"",+AG40/$U40*0.001)</f>
        <v/>
      </c>
      <c r="AH43" s="921" t="str">
        <f>IF(Y40=0,"",+AH40/$U40*0.001)</f>
        <v/>
      </c>
      <c r="AI43" s="921"/>
      <c r="AJ43" s="915"/>
      <c r="AK43" s="1141"/>
    </row>
    <row r="44" spans="1:181" ht="4.5" customHeight="1" thickBot="1" x14ac:dyDescent="0.25">
      <c r="A44" s="944"/>
      <c r="B44" s="907"/>
      <c r="C44" s="907"/>
      <c r="D44" s="921"/>
      <c r="E44" s="921"/>
      <c r="F44" s="921"/>
      <c r="G44" s="921"/>
      <c r="H44" s="921"/>
      <c r="I44" s="921"/>
      <c r="J44" s="921"/>
      <c r="K44" s="921"/>
      <c r="L44" s="921"/>
      <c r="M44" s="921"/>
      <c r="N44" s="907"/>
      <c r="O44" s="907"/>
      <c r="P44" s="907"/>
      <c r="Q44" s="907"/>
      <c r="R44" s="939"/>
      <c r="S44" s="921"/>
      <c r="T44" s="921"/>
      <c r="U44" s="919"/>
      <c r="V44" s="1121"/>
      <c r="W44" s="1121"/>
      <c r="X44" s="1121"/>
      <c r="Y44" s="907"/>
      <c r="Z44" s="921"/>
      <c r="AA44" s="915"/>
      <c r="AB44" s="915"/>
      <c r="AC44" s="921"/>
      <c r="AD44" s="921"/>
      <c r="AE44" s="921"/>
      <c r="AF44" s="921"/>
      <c r="AG44" s="921"/>
      <c r="AH44" s="921"/>
      <c r="AI44" s="921"/>
      <c r="AJ44" s="915"/>
      <c r="AK44" s="1141"/>
    </row>
    <row r="45" spans="1:181" ht="17.25" customHeight="1" x14ac:dyDescent="0.2">
      <c r="A45" s="944"/>
      <c r="B45" s="907"/>
      <c r="C45" s="907"/>
      <c r="D45" s="921"/>
      <c r="E45" s="921"/>
      <c r="F45" s="921"/>
      <c r="G45" s="921"/>
      <c r="H45" s="921"/>
      <c r="I45" s="921"/>
      <c r="J45" s="921"/>
      <c r="K45" s="921"/>
      <c r="L45" s="921"/>
      <c r="M45" s="921"/>
      <c r="N45" s="907"/>
      <c r="O45" s="907"/>
      <c r="P45" s="907"/>
      <c r="Q45" s="907"/>
      <c r="R45" s="939"/>
      <c r="S45" s="921"/>
      <c r="T45" s="921"/>
      <c r="U45" s="1163" t="s">
        <v>37</v>
      </c>
      <c r="V45" s="1164"/>
      <c r="W45" s="999" t="s">
        <v>40</v>
      </c>
      <c r="X45" s="1000" t="s">
        <v>41</v>
      </c>
      <c r="Y45" s="1000" t="s">
        <v>42</v>
      </c>
      <c r="Z45" s="1000" t="s">
        <v>43</v>
      </c>
      <c r="AA45" s="1000" t="s">
        <v>400</v>
      </c>
      <c r="AB45" s="1000" t="s">
        <v>401</v>
      </c>
      <c r="AC45" s="1000" t="s">
        <v>395</v>
      </c>
      <c r="AD45" s="1126" t="s">
        <v>396</v>
      </c>
      <c r="AE45" s="1489"/>
      <c r="AF45" s="1490"/>
      <c r="AG45" s="921"/>
      <c r="AH45" s="921"/>
      <c r="AI45" s="921"/>
      <c r="AJ45" s="1005" t="s">
        <v>457</v>
      </c>
      <c r="AK45" s="1141"/>
    </row>
    <row r="46" spans="1:181" ht="17.25" customHeight="1" thickBot="1" x14ac:dyDescent="0.25">
      <c r="A46" s="944"/>
      <c r="B46" s="907"/>
      <c r="C46" s="907"/>
      <c r="D46" s="921"/>
      <c r="E46" s="921"/>
      <c r="F46" s="921"/>
      <c r="G46" s="921"/>
      <c r="H46" s="921"/>
      <c r="I46" s="921"/>
      <c r="J46" s="921"/>
      <c r="K46" s="921"/>
      <c r="L46" s="921"/>
      <c r="M46" s="921"/>
      <c r="N46" s="907"/>
      <c r="O46" s="907"/>
      <c r="P46" s="907"/>
      <c r="Q46" s="907"/>
      <c r="R46" s="939"/>
      <c r="S46" s="921"/>
      <c r="T46" s="921"/>
      <c r="U46" s="1165"/>
      <c r="V46" s="1166" t="s">
        <v>407</v>
      </c>
      <c r="W46" s="1150" t="e">
        <f>'Ration Milch-Mineralstoffe'!R11/'Ration Milch-Mineralstoffe'!Q7</f>
        <v>#DIV/0!</v>
      </c>
      <c r="X46" s="1151" t="e">
        <f>'Ration Milch-Mineralstoffe'!S11/'Ration Milch-Mineralstoffe'!Q7</f>
        <v>#DIV/0!</v>
      </c>
      <c r="Y46" s="1151" t="e">
        <f>'Ration Milch-Mineralstoffe'!T11/'Ration Milch-Mineralstoffe'!Q7</f>
        <v>#DIV/0!</v>
      </c>
      <c r="Z46" s="1151" t="e">
        <f>'Ration Milch-Mineralstoffe'!U11/'Ration Milch-Mineralstoffe'!Q7</f>
        <v>#DIV/0!</v>
      </c>
      <c r="AA46" s="1151" t="e">
        <f>'Ration Milch-Mineralstoffe'!V11/'Ration Milch-Mineralstoffe'!Q7</f>
        <v>#DIV/0!</v>
      </c>
      <c r="AB46" s="1151" t="e">
        <f>'Ration Milch-Mineralstoffe'!W11/'Ration Milch-Mineralstoffe'!Q7</f>
        <v>#DIV/0!</v>
      </c>
      <c r="AC46" s="1152" t="str">
        <f>"1 : "&amp;FIXED((CaPmin+CaPmax)/2,2)</f>
        <v>1 : 0,63</v>
      </c>
      <c r="AD46" s="1153" t="str">
        <f>"1 : "&amp;FIXED((NaKmin+NaKmax)/2,1)</f>
        <v>1 : 10,0</v>
      </c>
      <c r="AE46" s="921"/>
      <c r="AF46" s="921"/>
      <c r="AG46" s="921"/>
      <c r="AH46" s="921"/>
      <c r="AI46" s="921"/>
      <c r="AJ46" s="1391" t="s">
        <v>461</v>
      </c>
      <c r="AK46" s="1141"/>
    </row>
    <row r="47" spans="1:181" ht="17.25" customHeight="1" thickBot="1" x14ac:dyDescent="0.25">
      <c r="A47" s="944"/>
      <c r="B47" s="907"/>
      <c r="C47" s="907"/>
      <c r="D47" s="921"/>
      <c r="E47" s="921"/>
      <c r="F47" s="921"/>
      <c r="G47" s="921"/>
      <c r="H47" s="921"/>
      <c r="I47" s="921"/>
      <c r="J47" s="921"/>
      <c r="K47" s="921"/>
      <c r="L47" s="921"/>
      <c r="M47" s="921"/>
      <c r="N47" s="907"/>
      <c r="O47" s="907"/>
      <c r="P47" s="907"/>
      <c r="Q47" s="907"/>
      <c r="R47" s="939"/>
      <c r="S47" s="921"/>
      <c r="T47" s="921"/>
      <c r="U47" s="1165"/>
      <c r="V47" s="1166" t="s">
        <v>408</v>
      </c>
      <c r="W47" s="1148" t="str">
        <f>'Ration Milch-Mineralstoffe'!R38</f>
        <v/>
      </c>
      <c r="X47" s="1130" t="str">
        <f>'Ration Milch-Mineralstoffe'!S38</f>
        <v/>
      </c>
      <c r="Y47" s="1130" t="str">
        <f>'Ration Milch-Mineralstoffe'!T38</f>
        <v/>
      </c>
      <c r="Z47" s="1130" t="str">
        <f>'Ration Milch-Mineralstoffe'!U38</f>
        <v/>
      </c>
      <c r="AA47" s="1169" t="e">
        <f>ROUND('Ration Milch-Mineralstoffe'!V38,0)</f>
        <v>#VALUE!</v>
      </c>
      <c r="AB47" s="1130" t="e">
        <f>IF('Ration Milch-Mineralstoffe'!W38=0,"k.A.",'Ration Milch-Mineralstoffe'!W38&amp;mg/kg TM)</f>
        <v>#NAME?</v>
      </c>
      <c r="AC47" s="1130" t="e">
        <f>"1 : "&amp;FIXED('Ration Milch-Mineralstoffe'!S38/'Ration Milch-Mineralstoffe'!R38,2)</f>
        <v>#VALUE!</v>
      </c>
      <c r="AD47" s="1149" t="e">
        <f>"1 : "&amp;FIXED('Ration Milch-Mineralstoffe'!V38/'Ration Milch-Mineralstoffe'!T38,1)</f>
        <v>#VALUE!</v>
      </c>
      <c r="AE47" s="921"/>
      <c r="AF47" s="921"/>
      <c r="AG47" s="921"/>
      <c r="AH47" s="921"/>
      <c r="AI47" s="921"/>
      <c r="AJ47" s="1392" t="e">
        <f>IF(W43&lt;&gt;0,AI40/W43,"")*100</f>
        <v>#VALUE!</v>
      </c>
      <c r="AK47" s="1141"/>
    </row>
    <row r="48" spans="1:181" ht="17.25" customHeight="1" thickBot="1" x14ac:dyDescent="0.25">
      <c r="A48" s="952"/>
      <c r="B48" s="907"/>
      <c r="C48" s="907"/>
      <c r="D48" s="907"/>
      <c r="E48" s="907"/>
      <c r="F48" s="953"/>
      <c r="G48" s="907"/>
      <c r="H48" s="907"/>
      <c r="I48" s="907"/>
      <c r="J48" s="907"/>
      <c r="K48" s="921"/>
      <c r="L48" s="921"/>
      <c r="M48" s="921"/>
      <c r="N48" s="907"/>
      <c r="O48" s="907"/>
      <c r="P48" s="907"/>
      <c r="Q48" s="907"/>
      <c r="R48" s="907"/>
      <c r="S48" s="907"/>
      <c r="T48" s="907"/>
      <c r="U48" s="1167"/>
      <c r="V48" s="1168"/>
      <c r="W48" s="1127" t="e">
        <f>IF(W47&lt;Camin*W46,ROUND((W47/W46-1),2),IF(W47&lt;Camin*1.05*W46,"!",IF(W47&gt;Camax*W46,"+"&amp;ROUND((W47/W46-1)*100,0)&amp;"%",IF(W47&gt;Camax*0.95*W46,"!",""))))</f>
        <v>#DIV/0!</v>
      </c>
      <c r="X48" s="1128" t="e">
        <f>IF(X47&lt;Pmin*X46,ROUND((X47/X46-1),2),IF(X47&lt;Pmin*1.05*X46,"!",IF(X47&gt;Pmax*X46,"+"&amp;ROUND((X47/X46-1)*100,0)&amp;"%",IF(X47&gt;Pmax*0.95*X46,"!",""))))</f>
        <v>#DIV/0!</v>
      </c>
      <c r="Y48" s="1128" t="e">
        <f>IF(Y47&lt;Namin*Y46,ROUND((Y47/Y46-1),2),IF(Y47&lt;Namin*1.05*Y46,"!",IF(Y47&gt;Namax*Y46,"+"&amp;ROUND((Y47/Y46-1)*100,0)&amp;"%",IF(Y47&gt;Namax*0.95*Y46,"!",""))))</f>
        <v>#DIV/0!</v>
      </c>
      <c r="Z48" s="1128" t="e">
        <f>IF(Z47&lt;Mgmin*Z46,ROUND((Z47/Z46-1),2),IF(Z47&lt;Mgmin*1.05*Z46,"!",IF(Z47&gt;Mgmax*Z46,"+"&amp;ROUND((Z47/Z46-1)*100,0)&amp;"%",IF(Z47&gt;Mgmax*0.95*Z46,"!",""))))</f>
        <v>#DIV/0!</v>
      </c>
      <c r="AA48" s="1128" t="e">
        <f>IF(AA47&lt;Kmin*AA46,ROUND((AA47/AA46-1),2),IF(AA47&lt;Kmin*1.05*AA46,"!",IF(AA47&gt;Kmax*AA46,"+"&amp;ROUND((AA47/AA46-1)*100,0)&amp;"%",IF(AA47&gt;Kmax*0.95*AA46,"!",""))))</f>
        <v>#VALUE!</v>
      </c>
      <c r="AB48" s="1128" t="e">
        <f>IF(AB47="k.A.","k.A.",IF(AB47&lt;Semin*AB46,ROUND((AB47-AB46)/AB46,0),IF(AB47&lt;Semin*1.05*AB46,"!",IF(AB47&gt;Semax*AB46,"+"&amp;ROUND((AB47-AB46)/AB46*100,0)&amp;"%",IF(AB47&gt;Semax*0.95*AB46,"!","")))))</f>
        <v>#NAME?</v>
      </c>
      <c r="AC48" s="1128" t="e">
        <f>IF(RIGHT(AC47,4)*1&lt;CaPmin,RIGHT(AC47,4)/RIGHT(AC46,4)-1,IF(RIGHT(AC47,4)*1&lt;CaPmin*1.1,"!",IF(RIGHT(AC47,4)*1&gt;CaPmax,"+"&amp;ROUND((RIGHT(AC47,4)/RIGHT(AC46,4)-1)*100,2)&amp;"%",IF(RIGHT(AC47,4)*1&gt;CaPmax*0.9,"!",""))))</f>
        <v>#VALUE!</v>
      </c>
      <c r="AD48" s="1129" t="e">
        <f>IF(RIGHT(AD47,4)*1&lt;NaKmin,RIGHT(AD47,4)/RIGHT(AD46,4)-1,IF(RIGHT(AD47,4)*1&lt;NaKmin*1.1,"!",IF(RIGHT(AD47,4)*1&gt;NaKmax,"+"&amp;ROUND((RIGHT(AD47,4)/RIGHT(AD46,4)-1)*100,2)&amp;"%",IF(RIGHT(AD47,4)*1&gt;NaKmax*0.9,"!",""))))</f>
        <v>#VALUE!</v>
      </c>
      <c r="AE48" s="937"/>
      <c r="AF48" s="937"/>
      <c r="AG48" s="935"/>
      <c r="AH48" s="936"/>
      <c r="AI48" s="936"/>
      <c r="AJ48" s="1411" t="str">
        <f>IF(COUNTIF(AI20:AI38,"&gt;0")&lt;&gt;COUNTIF(AJ20:AJ38,"&gt;0"),"!","")</f>
        <v/>
      </c>
      <c r="AK48" s="1142"/>
    </row>
    <row r="49" spans="1:181" ht="10.5" customHeight="1" x14ac:dyDescent="0.2">
      <c r="A49" s="952"/>
      <c r="B49" s="907"/>
      <c r="C49" s="907"/>
      <c r="D49" s="907"/>
      <c r="E49" s="907"/>
      <c r="F49" s="953"/>
      <c r="G49" s="173"/>
      <c r="H49" s="953"/>
      <c r="I49" s="953"/>
      <c r="J49" s="173"/>
      <c r="K49" s="921"/>
      <c r="L49" s="921"/>
      <c r="M49" s="921"/>
      <c r="N49" s="907"/>
      <c r="O49" s="907"/>
      <c r="P49" s="907"/>
      <c r="Q49" s="907"/>
      <c r="R49" s="907"/>
      <c r="S49" s="907"/>
      <c r="T49" s="907"/>
      <c r="U49" s="919"/>
      <c r="V49" s="919"/>
      <c r="W49" s="938"/>
      <c r="X49" s="938"/>
      <c r="Y49" s="938"/>
      <c r="Z49" s="937"/>
      <c r="AA49" s="936"/>
      <c r="AB49" s="920"/>
      <c r="AC49" s="937"/>
      <c r="AD49" s="937"/>
      <c r="AE49" s="937"/>
      <c r="AF49" s="937"/>
      <c r="AG49" s="935"/>
      <c r="AH49" s="936"/>
      <c r="AI49" s="936"/>
      <c r="AJ49" s="920"/>
      <c r="AK49" s="1142"/>
    </row>
    <row r="50" spans="1:181" s="895" customFormat="1" ht="10.5" customHeight="1" x14ac:dyDescent="0.2">
      <c r="A50" s="922"/>
      <c r="B50" s="923" t="s">
        <v>441</v>
      </c>
      <c r="C50" s="924"/>
      <c r="D50" s="924"/>
      <c r="E50" s="924"/>
      <c r="F50" s="924"/>
      <c r="G50" s="924"/>
      <c r="H50" s="924"/>
      <c r="I50" s="924"/>
      <c r="J50" s="924"/>
      <c r="K50" s="924"/>
      <c r="L50" s="924"/>
      <c r="M50" s="925"/>
      <c r="N50" s="925"/>
      <c r="O50" s="925"/>
      <c r="P50" s="925"/>
      <c r="Q50" s="925"/>
      <c r="R50" s="925"/>
      <c r="S50" s="925"/>
      <c r="T50" s="925"/>
      <c r="U50" s="926"/>
      <c r="V50" s="926"/>
      <c r="W50" s="927"/>
      <c r="X50" s="926"/>
      <c r="Y50" s="924"/>
      <c r="Z50" s="928"/>
      <c r="AA50" s="929"/>
      <c r="AB50" s="930"/>
      <c r="AC50" s="931"/>
      <c r="AD50" s="931"/>
      <c r="AE50" s="931"/>
      <c r="AF50" s="931"/>
      <c r="AG50" s="930"/>
      <c r="AH50" s="932"/>
      <c r="AI50" s="932"/>
      <c r="AJ50" s="930"/>
      <c r="AK50" s="1143"/>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09"/>
      <c r="CS50" s="509"/>
      <c r="CT50" s="509"/>
      <c r="CU50" s="509"/>
      <c r="CV50" s="509"/>
      <c r="CW50" s="509"/>
      <c r="CX50" s="509"/>
      <c r="CY50" s="509"/>
      <c r="CZ50" s="509"/>
      <c r="DA50" s="509"/>
      <c r="DB50" s="509"/>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c r="EA50" s="509"/>
      <c r="EB50" s="509"/>
      <c r="EC50" s="509"/>
      <c r="ED50" s="509"/>
      <c r="EE50" s="509"/>
      <c r="EF50" s="509"/>
      <c r="EG50" s="509"/>
      <c r="EH50" s="509"/>
      <c r="EI50" s="509"/>
      <c r="EJ50" s="509"/>
      <c r="EK50" s="509"/>
      <c r="EL50" s="509"/>
      <c r="EM50" s="509"/>
      <c r="EN50" s="509"/>
      <c r="EO50" s="509"/>
      <c r="EP50" s="509"/>
      <c r="EQ50" s="509"/>
      <c r="ER50" s="509"/>
      <c r="ES50" s="509"/>
      <c r="ET50" s="509"/>
      <c r="EU50" s="509"/>
      <c r="EV50" s="509"/>
      <c r="EW50" s="509"/>
      <c r="EX50" s="509"/>
      <c r="EY50" s="509"/>
      <c r="EZ50" s="509"/>
      <c r="FA50" s="509"/>
      <c r="FB50" s="509"/>
      <c r="FC50" s="509"/>
      <c r="FD50" s="509"/>
      <c r="FE50" s="509"/>
      <c r="FF50" s="509"/>
      <c r="FG50" s="509"/>
      <c r="FH50" s="509"/>
      <c r="FI50" s="509"/>
      <c r="FJ50" s="509"/>
      <c r="FK50" s="509"/>
      <c r="FL50" s="509"/>
      <c r="FM50" s="509"/>
      <c r="FN50" s="509"/>
      <c r="FO50" s="509"/>
      <c r="FP50" s="509"/>
      <c r="FQ50" s="509"/>
      <c r="FR50" s="509"/>
      <c r="FS50" s="509"/>
      <c r="FT50" s="509"/>
      <c r="FU50" s="509"/>
      <c r="FV50" s="509"/>
      <c r="FW50" s="509"/>
      <c r="FX50" s="509"/>
      <c r="FY50" s="509"/>
    </row>
    <row r="51" spans="1:181" s="934" customFormat="1" ht="3" customHeight="1" thickBot="1" x14ac:dyDescent="0.2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1144"/>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row>
    <row r="52" spans="1:181" ht="12.75" hidden="1" thickTop="1" x14ac:dyDescent="0.2">
      <c r="AL52" s="58"/>
    </row>
    <row r="53" spans="1:181" ht="12.75" hidden="1" thickTop="1" x14ac:dyDescent="0.2"/>
    <row r="54" spans="1:181" ht="12.75" hidden="1" thickTop="1" x14ac:dyDescent="0.2">
      <c r="C54" s="59"/>
    </row>
    <row r="55" spans="1:181" ht="12.75" hidden="1" thickTop="1" x14ac:dyDescent="0.2">
      <c r="C55" s="59"/>
      <c r="H55" s="59"/>
    </row>
    <row r="56" spans="1:181" ht="12.75" hidden="1" thickTop="1" x14ac:dyDescent="0.2">
      <c r="C56" s="59"/>
      <c r="H56" s="59"/>
    </row>
    <row r="57" spans="1:181" ht="12.75" hidden="1" thickTop="1" x14ac:dyDescent="0.2">
      <c r="H57" s="59"/>
    </row>
    <row r="58" spans="1:181" ht="12.75" hidden="1" thickTop="1" x14ac:dyDescent="0.2">
      <c r="H58" s="59"/>
    </row>
    <row r="59" spans="1:181" ht="12.75" hidden="1" thickTop="1" x14ac:dyDescent="0.2">
      <c r="H59" s="59"/>
    </row>
    <row r="60" spans="1:181" ht="12.75" hidden="1" thickTop="1" x14ac:dyDescent="0.2">
      <c r="H60" s="59"/>
    </row>
    <row r="61" spans="1:181" ht="12.75" thickTop="1" x14ac:dyDescent="0.2"/>
    <row r="62" spans="1:181" x14ac:dyDescent="0.2"/>
    <row r="63" spans="1:181" hidden="1" x14ac:dyDescent="0.2"/>
  </sheetData>
  <customSheetViews>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1"/>
      <headerFooter>
        <oddFooter>&amp;L&amp;F&amp;A&amp;R&amp;D  &amp;T</oddFooter>
      </headerFooter>
    </customSheetView>
  </customSheetViews>
  <mergeCells count="5">
    <mergeCell ref="M12:V12"/>
    <mergeCell ref="X2:Z2"/>
    <mergeCell ref="H8:H9"/>
    <mergeCell ref="AE45:AF45"/>
    <mergeCell ref="U17:AH17"/>
  </mergeCells>
  <phoneticPr fontId="8" type="noConversion"/>
  <conditionalFormatting sqref="J20:J32 J35:J38 K26:M26">
    <cfRule type="cellIs" dxfId="35" priority="37" stopIfTrue="1" operator="equal">
      <formula>0</formula>
    </cfRule>
  </conditionalFormatting>
  <conditionalFormatting sqref="H20:T25">
    <cfRule type="containsBlanks" priority="25">
      <formula>LEN(TRIM(H20))=0</formula>
    </cfRule>
  </conditionalFormatting>
  <conditionalFormatting sqref="W41:AH41">
    <cfRule type="containsText" dxfId="34" priority="20" operator="containsText" text="!">
      <formula>NOT(ISERROR(SEARCH("!",W41)))</formula>
    </cfRule>
  </conditionalFormatting>
  <conditionalFormatting sqref="V41:AH41">
    <cfRule type="containsText" dxfId="33" priority="19" operator="containsText" text="!">
      <formula>NOT(ISERROR(SEARCH("!",V41)))</formula>
    </cfRule>
    <cfRule type="cellIs" dxfId="32" priority="21" operator="notEqual">
      <formula>""</formula>
    </cfRule>
    <cfRule type="containsText" dxfId="31" priority="22" operator="containsText" text="&quot;&quot;">
      <formula>NOT(ISERROR(SEARCH("""""",V41)))</formula>
    </cfRule>
  </conditionalFormatting>
  <conditionalFormatting sqref="W48:AD48">
    <cfRule type="containsText" dxfId="30" priority="11" operator="containsText" text="!">
      <formula>NOT(ISERROR(SEARCH("!",W48)))</formula>
    </cfRule>
  </conditionalFormatting>
  <conditionalFormatting sqref="W48:AD48">
    <cfRule type="containsText" dxfId="29" priority="10" operator="containsText" text="!">
      <formula>NOT(ISERROR(SEARCH("!",W48)))</formula>
    </cfRule>
    <cfRule type="cellIs" dxfId="28" priority="12" operator="notEqual">
      <formula>""</formula>
    </cfRule>
    <cfRule type="containsText" dxfId="27" priority="13" operator="containsText" text="&quot;&quot;">
      <formula>NOT(ISERROR(SEARCH("""""",W48)))</formula>
    </cfRule>
  </conditionalFormatting>
  <conditionalFormatting sqref="AB48">
    <cfRule type="containsText" dxfId="26" priority="9" operator="containsText" text="k.A.">
      <formula>NOT(ISERROR(SEARCH("k.A.",AB48)))</formula>
    </cfRule>
  </conditionalFormatting>
  <conditionalFormatting sqref="AK20:AK38">
    <cfRule type="containsText" dxfId="25" priority="8" operator="containsText" text="?">
      <formula>NOT(ISERROR(SEARCH("?",AK20)))</formula>
    </cfRule>
  </conditionalFormatting>
  <conditionalFormatting sqref="T37:T38 T29:T32">
    <cfRule type="containsBlanks" priority="3">
      <formula>LEN(TRIM(T29))=0</formula>
    </cfRule>
  </conditionalFormatting>
  <conditionalFormatting sqref="AJ48">
    <cfRule type="containsText" dxfId="24" priority="2" operator="containsText" text="!">
      <formula>NOT(ISERROR(SEARCH("!",AJ48)))</formula>
    </cfRule>
  </conditionalFormatting>
  <printOptions horizontalCentered="1"/>
  <pageMargins left="0.31496062992125984" right="0.31496062992125984" top="0.70866141732283472" bottom="0.35433070866141736" header="0.51181102362204722" footer="0.11811023622047245"/>
  <pageSetup paperSize="9" scale="62"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5" r:id="rId5"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0</xdr:rowOff>
                  </from>
                  <to>
                    <xdr:col>6</xdr:col>
                    <xdr:colOff>28575</xdr:colOff>
                    <xdr:row>21</xdr:row>
                    <xdr:rowOff>228600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59" r:id="rId9" name="Drop Down 35">
              <controlPr locked="0" defaultSize="0" print="0" autoFill="0" autoLine="0" autoPict="0">
                <anchor moveWithCells="1">
                  <from>
                    <xdr:col>2</xdr:col>
                    <xdr:colOff>0</xdr:colOff>
                    <xdr:row>24</xdr:row>
                    <xdr:rowOff>0</xdr:rowOff>
                  </from>
                  <to>
                    <xdr:col>6</xdr:col>
                    <xdr:colOff>28575</xdr:colOff>
                    <xdr:row>25</xdr:row>
                    <xdr:rowOff>0</xdr:rowOff>
                  </to>
                </anchor>
              </controlPr>
            </control>
          </mc:Choice>
        </mc:AlternateContent>
        <mc:AlternateContent xmlns:mc="http://schemas.openxmlformats.org/markup-compatibility/2006">
          <mc:Choice Requires="x14">
            <control shapeId="1070" r:id="rId10" name="Drop Down 46">
              <controlPr locked="0" defaultSize="0" print="0" autoFill="0" autoLine="0" autoPict="0">
                <anchor moveWithCells="1">
                  <from>
                    <xdr:col>2</xdr:col>
                    <xdr:colOff>0</xdr:colOff>
                    <xdr:row>23</xdr:row>
                    <xdr:rowOff>0</xdr:rowOff>
                  </from>
                  <to>
                    <xdr:col>6</xdr:col>
                    <xdr:colOff>28575</xdr:colOff>
                    <xdr:row>24</xdr:row>
                    <xdr:rowOff>0</xdr:rowOff>
                  </to>
                </anchor>
              </controlPr>
            </control>
          </mc:Choice>
        </mc:AlternateContent>
        <mc:AlternateContent xmlns:mc="http://schemas.openxmlformats.org/markup-compatibility/2006">
          <mc:Choice Requires="x14">
            <control shapeId="1071" r:id="rId11" name="Drop Down 47">
              <controlPr locked="0" defaultSize="0" print="0" autoFill="0" autoLine="0" autoPict="0">
                <anchor moveWithCells="1">
                  <from>
                    <xdr:col>2</xdr:col>
                    <xdr:colOff>0</xdr:colOff>
                    <xdr:row>28</xdr:row>
                    <xdr:rowOff>0</xdr:rowOff>
                  </from>
                  <to>
                    <xdr:col>6</xdr:col>
                    <xdr:colOff>28575</xdr:colOff>
                    <xdr:row>29</xdr:row>
                    <xdr:rowOff>19050</xdr:rowOff>
                  </to>
                </anchor>
              </controlPr>
            </control>
          </mc:Choice>
        </mc:AlternateContent>
        <mc:AlternateContent xmlns:mc="http://schemas.openxmlformats.org/markup-compatibility/2006">
          <mc:Choice Requires="x14">
            <control shapeId="1072" r:id="rId12" name="Drop Down 48">
              <controlPr locked="0" defaultSize="0" print="0" autoFill="0" autoLine="0" autoPict="0">
                <anchor moveWithCells="1">
                  <from>
                    <xdr:col>2</xdr:col>
                    <xdr:colOff>0</xdr:colOff>
                    <xdr:row>31</xdr:row>
                    <xdr:rowOff>0</xdr:rowOff>
                  </from>
                  <to>
                    <xdr:col>6</xdr:col>
                    <xdr:colOff>28575</xdr:colOff>
                    <xdr:row>32</xdr:row>
                    <xdr:rowOff>9525</xdr:rowOff>
                  </to>
                </anchor>
              </controlPr>
            </control>
          </mc:Choice>
        </mc:AlternateContent>
        <mc:AlternateContent xmlns:mc="http://schemas.openxmlformats.org/markup-compatibility/2006">
          <mc:Choice Requires="x14">
            <control shapeId="1073" r:id="rId13"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4" name="Drop Down 51">
              <controlPr locked="0" defaultSize="0" print="0" autoFill="0" autoLine="0" autoPict="0">
                <anchor moveWithCells="1">
                  <from>
                    <xdr:col>2</xdr:col>
                    <xdr:colOff>0</xdr:colOff>
                    <xdr:row>30</xdr:row>
                    <xdr:rowOff>0</xdr:rowOff>
                  </from>
                  <to>
                    <xdr:col>6</xdr:col>
                    <xdr:colOff>28575</xdr:colOff>
                    <xdr:row>31</xdr:row>
                    <xdr:rowOff>9525</xdr:rowOff>
                  </to>
                </anchor>
              </controlPr>
            </control>
          </mc:Choice>
        </mc:AlternateContent>
        <mc:AlternateContent xmlns:mc="http://schemas.openxmlformats.org/markup-compatibility/2006">
          <mc:Choice Requires="x14">
            <control shapeId="1136" r:id="rId15" name="Group Box 112">
              <controlPr locked="0" defaultSize="0" autoFill="0" autoPict="0">
                <anchor moveWithCells="1">
                  <from>
                    <xdr:col>4</xdr:col>
                    <xdr:colOff>0</xdr:colOff>
                    <xdr:row>9</xdr:row>
                    <xdr:rowOff>9525</xdr:rowOff>
                  </from>
                  <to>
                    <xdr:col>6</xdr:col>
                    <xdr:colOff>0</xdr:colOff>
                    <xdr:row>12</xdr:row>
                    <xdr:rowOff>9525</xdr:rowOff>
                  </to>
                </anchor>
              </controlPr>
            </control>
          </mc:Choice>
        </mc:AlternateContent>
        <mc:AlternateContent xmlns:mc="http://schemas.openxmlformats.org/markup-compatibility/2006">
          <mc:Choice Requires="x14">
            <control shapeId="1137" r:id="rId16" name="Group Box 113">
              <controlPr defaultSize="0" autoFill="0" autoPict="0">
                <anchor moveWithCells="1">
                  <from>
                    <xdr:col>2</xdr:col>
                    <xdr:colOff>0</xdr:colOff>
                    <xdr:row>9</xdr:row>
                    <xdr:rowOff>9525</xdr:rowOff>
                  </from>
                  <to>
                    <xdr:col>4</xdr:col>
                    <xdr:colOff>0</xdr:colOff>
                    <xdr:row>12</xdr:row>
                    <xdr:rowOff>9525</xdr:rowOff>
                  </to>
                </anchor>
              </controlPr>
            </control>
          </mc:Choice>
        </mc:AlternateContent>
        <mc:AlternateContent xmlns:mc="http://schemas.openxmlformats.org/markup-compatibility/2006">
          <mc:Choice Requires="x14">
            <control shapeId="1139" r:id="rId17" name="Drop Down 115">
              <controlPr locked="0" defaultSize="0" print="0" autoFill="0" autoLine="0" autoPict="0">
                <anchor moveWithCells="1">
                  <from>
                    <xdr:col>2</xdr:col>
                    <xdr:colOff>0</xdr:colOff>
                    <xdr:row>29</xdr:row>
                    <xdr:rowOff>0</xdr:rowOff>
                  </from>
                  <to>
                    <xdr:col>6</xdr:col>
                    <xdr:colOff>28575</xdr:colOff>
                    <xdr:row>30</xdr:row>
                    <xdr:rowOff>9525</xdr:rowOff>
                  </to>
                </anchor>
              </controlPr>
            </control>
          </mc:Choice>
        </mc:AlternateContent>
        <mc:AlternateContent xmlns:mc="http://schemas.openxmlformats.org/markup-compatibility/2006">
          <mc:Choice Requires="x14">
            <control shapeId="1151" r:id="rId18" name="Group Box 127">
              <controlPr defaultSize="0" print="0" autoFill="0" autoPict="0">
                <anchor moveWithCells="1">
                  <from>
                    <xdr:col>2</xdr:col>
                    <xdr:colOff>0</xdr:colOff>
                    <xdr:row>3</xdr:row>
                    <xdr:rowOff>9525</xdr:rowOff>
                  </from>
                  <to>
                    <xdr:col>6</xdr:col>
                    <xdr:colOff>9525</xdr:colOff>
                    <xdr:row>6</xdr:row>
                    <xdr:rowOff>9525</xdr:rowOff>
                  </to>
                </anchor>
              </controlPr>
            </control>
          </mc:Choice>
        </mc:AlternateContent>
        <mc:AlternateContent xmlns:mc="http://schemas.openxmlformats.org/markup-compatibility/2006">
          <mc:Choice Requires="x14">
            <control shapeId="1193" r:id="rId19" name="Group Box 169">
              <controlPr defaultSize="0" autoFill="0" autoPict="0">
                <anchor moveWithCells="1">
                  <from>
                    <xdr:col>7</xdr:col>
                    <xdr:colOff>0</xdr:colOff>
                    <xdr:row>2</xdr:row>
                    <xdr:rowOff>38100</xdr:rowOff>
                  </from>
                  <to>
                    <xdr:col>11</xdr:col>
                    <xdr:colOff>685800</xdr:colOff>
                    <xdr:row>6</xdr:row>
                    <xdr:rowOff>0</xdr:rowOff>
                  </to>
                </anchor>
              </controlPr>
            </control>
          </mc:Choice>
        </mc:AlternateContent>
        <mc:AlternateContent xmlns:mc="http://schemas.openxmlformats.org/markup-compatibility/2006">
          <mc:Choice Requires="x14">
            <control shapeId="1194" r:id="rId20" name="Option Button 170">
              <controlPr locked="0" defaultSize="0" autoFill="0" autoLine="0" autoPict="0">
                <anchor moveWithCells="1">
                  <from>
                    <xdr:col>7</xdr:col>
                    <xdr:colOff>390525</xdr:colOff>
                    <xdr:row>3</xdr:row>
                    <xdr:rowOff>142875</xdr:rowOff>
                  </from>
                  <to>
                    <xdr:col>7</xdr:col>
                    <xdr:colOff>685800</xdr:colOff>
                    <xdr:row>4</xdr:row>
                    <xdr:rowOff>152400</xdr:rowOff>
                  </to>
                </anchor>
              </controlPr>
            </control>
          </mc:Choice>
        </mc:AlternateContent>
        <mc:AlternateContent xmlns:mc="http://schemas.openxmlformats.org/markup-compatibility/2006">
          <mc:Choice Requires="x14">
            <control shapeId="1195" r:id="rId21" name="Option Button 171">
              <controlPr locked="0" defaultSize="0" autoFill="0" autoLine="0" autoPict="0">
                <anchor moveWithCells="1">
                  <from>
                    <xdr:col>7</xdr:col>
                    <xdr:colOff>390525</xdr:colOff>
                    <xdr:row>4</xdr:row>
                    <xdr:rowOff>133350</xdr:rowOff>
                  </from>
                  <to>
                    <xdr:col>7</xdr:col>
                    <xdr:colOff>685800</xdr:colOff>
                    <xdr:row>5</xdr:row>
                    <xdr:rowOff>152400</xdr:rowOff>
                  </to>
                </anchor>
              </controlPr>
            </control>
          </mc:Choice>
        </mc:AlternateContent>
        <mc:AlternateContent xmlns:mc="http://schemas.openxmlformats.org/markup-compatibility/2006">
          <mc:Choice Requires="x14">
            <control shapeId="1205" r:id="rId22" name="Option Button 181">
              <controlPr defaultSize="0" autoFill="0" autoLine="0" autoPict="0">
                <anchor moveWithCells="1">
                  <from>
                    <xdr:col>3</xdr:col>
                    <xdr:colOff>57150</xdr:colOff>
                    <xdr:row>9</xdr:row>
                    <xdr:rowOff>76200</xdr:rowOff>
                  </from>
                  <to>
                    <xdr:col>3</xdr:col>
                    <xdr:colOff>466725</xdr:colOff>
                    <xdr:row>10</xdr:row>
                    <xdr:rowOff>104775</xdr:rowOff>
                  </to>
                </anchor>
              </controlPr>
            </control>
          </mc:Choice>
        </mc:AlternateContent>
        <mc:AlternateContent xmlns:mc="http://schemas.openxmlformats.org/markup-compatibility/2006">
          <mc:Choice Requires="x14">
            <control shapeId="1206" r:id="rId23" name="Option Button 182">
              <controlPr defaultSize="0" autoFill="0" autoLine="0" autoPict="0">
                <anchor moveWithCells="1">
                  <from>
                    <xdr:col>3</xdr:col>
                    <xdr:colOff>38100</xdr:colOff>
                    <xdr:row>10</xdr:row>
                    <xdr:rowOff>161925</xdr:rowOff>
                  </from>
                  <to>
                    <xdr:col>3</xdr:col>
                    <xdr:colOff>447675</xdr:colOff>
                    <xdr:row>11</xdr:row>
                    <xdr:rowOff>104775</xdr:rowOff>
                  </to>
                </anchor>
              </controlPr>
            </control>
          </mc:Choice>
        </mc:AlternateContent>
        <mc:AlternateContent xmlns:mc="http://schemas.openxmlformats.org/markup-compatibility/2006">
          <mc:Choice Requires="x14">
            <control shapeId="1207" r:id="rId24"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25" name="Option Button 184">
              <controlPr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26" name="Option Button 185">
              <controlPr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7" name="Option Button 186">
              <controlPr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5" r:id="rId28" name="Option Button 187">
              <controlPr defaultSize="0" autoFill="0" autoLine="0" autoPict="0">
                <anchor moveWithCells="1">
                  <from>
                    <xdr:col>5</xdr:col>
                    <xdr:colOff>28575</xdr:colOff>
                    <xdr:row>9</xdr:row>
                    <xdr:rowOff>47625</xdr:rowOff>
                  </from>
                  <to>
                    <xdr:col>5</xdr:col>
                    <xdr:colOff>333375</xdr:colOff>
                    <xdr:row>10</xdr:row>
                    <xdr:rowOff>28575</xdr:rowOff>
                  </to>
                </anchor>
              </controlPr>
            </control>
          </mc:Choice>
        </mc:AlternateContent>
        <mc:AlternateContent xmlns:mc="http://schemas.openxmlformats.org/markup-compatibility/2006">
          <mc:Choice Requires="x14">
            <control shapeId="6" r:id="rId29" name="Option Button 188">
              <controlPr defaultSize="0" autoFill="0" autoLine="0" autoPict="0">
                <anchor moveWithCells="1">
                  <from>
                    <xdr:col>5</xdr:col>
                    <xdr:colOff>28575</xdr:colOff>
                    <xdr:row>10</xdr:row>
                    <xdr:rowOff>47625</xdr:rowOff>
                  </from>
                  <to>
                    <xdr:col>5</xdr:col>
                    <xdr:colOff>333375</xdr:colOff>
                    <xdr:row>11</xdr:row>
                    <xdr:rowOff>0</xdr:rowOff>
                  </to>
                </anchor>
              </controlPr>
            </control>
          </mc:Choice>
        </mc:AlternateContent>
        <mc:AlternateContent xmlns:mc="http://schemas.openxmlformats.org/markup-compatibility/2006">
          <mc:Choice Requires="x14">
            <control shapeId="7" r:id="rId30" name="Option Button 190">
              <controlPr defaultSize="0" autoFill="0" autoLine="0" autoPict="0">
                <anchor moveWithCells="1">
                  <from>
                    <xdr:col>5</xdr:col>
                    <xdr:colOff>28575</xdr:colOff>
                    <xdr:row>10</xdr:row>
                    <xdr:rowOff>228600</xdr:rowOff>
                  </from>
                  <to>
                    <xdr:col>5</xdr:col>
                    <xdr:colOff>333375</xdr:colOff>
                    <xdr:row>11</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92D050"/>
    <pageSetUpPr fitToPage="1"/>
  </sheetPr>
  <dimension ref="A1:AF51"/>
  <sheetViews>
    <sheetView showGridLines="0" showRowColHeaders="0" showZeros="0" zoomScaleNormal="100" workbookViewId="0">
      <selection activeCell="B5" sqref="B5"/>
    </sheetView>
  </sheetViews>
  <sheetFormatPr baseColWidth="10" defaultColWidth="0" defaultRowHeight="12.75" zeroHeight="1" x14ac:dyDescent="0.2"/>
  <cols>
    <col min="1" max="1" width="2.42578125" style="1" customWidth="1"/>
    <col min="2" max="2" width="1.7109375" style="1" hidden="1" customWidth="1"/>
    <col min="3" max="3" width="37.140625" style="1" customWidth="1"/>
    <col min="4" max="4" width="10.85546875" style="1" customWidth="1"/>
    <col min="5" max="5" width="13" style="1" customWidth="1"/>
    <col min="6" max="9" width="10.85546875" style="1" customWidth="1"/>
    <col min="10" max="10" width="10.140625" style="1" customWidth="1"/>
    <col min="11" max="11" width="11.140625" style="1" hidden="1" customWidth="1"/>
    <col min="12" max="12" width="11" style="1" hidden="1" customWidth="1"/>
    <col min="13" max="13" width="11.85546875" style="1" hidden="1" customWidth="1"/>
    <col min="14" max="14" width="8.7109375" style="1" hidden="1" customWidth="1"/>
    <col min="15" max="15" width="14" style="1" hidden="1" customWidth="1"/>
    <col min="16" max="17" width="9.5703125" style="1" customWidth="1"/>
    <col min="18" max="19" width="10.42578125" style="1" customWidth="1"/>
    <col min="20" max="23" width="10.28515625" style="1" customWidth="1"/>
    <col min="24" max="24" width="9.85546875" style="1" hidden="1" customWidth="1"/>
    <col min="25" max="26" width="10.28515625" style="1" hidden="1" customWidth="1"/>
    <col min="27" max="27" width="10.140625" style="1" hidden="1" customWidth="1"/>
    <col min="28" max="28" width="10.7109375" style="1" hidden="1" customWidth="1"/>
    <col min="29" max="29" width="6.42578125" style="7" customWidth="1"/>
    <col min="30" max="30" width="0.5703125" style="1" customWidth="1"/>
    <col min="31" max="32" width="0" style="1" hidden="1" customWidth="1"/>
    <col min="33" max="16384" width="11.42578125" style="1" hidden="1"/>
  </cols>
  <sheetData>
    <row r="1" spans="1:29" ht="18.75" customHeight="1" thickTop="1" x14ac:dyDescent="0.25">
      <c r="A1" s="211" t="s">
        <v>37</v>
      </c>
      <c r="B1" s="212"/>
      <c r="C1" s="212"/>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4"/>
    </row>
    <row r="2" spans="1:29" s="2" customFormat="1" ht="18.75" customHeight="1" thickBot="1" x14ac:dyDescent="0.25">
      <c r="A2" s="21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6"/>
    </row>
    <row r="3" spans="1:29" s="3" customFormat="1" ht="18.75" customHeight="1" thickBot="1" x14ac:dyDescent="0.25">
      <c r="A3" s="216"/>
      <c r="B3" s="26"/>
      <c r="C3" s="175"/>
      <c r="D3" s="281" t="s">
        <v>0</v>
      </c>
      <c r="E3" s="282" t="str">
        <f>'Ration Milch'!H8</f>
        <v>Laktations-tag</v>
      </c>
      <c r="F3" s="283" t="s">
        <v>1</v>
      </c>
      <c r="G3" s="284" t="s">
        <v>2</v>
      </c>
      <c r="H3" s="285"/>
      <c r="I3" s="286"/>
      <c r="J3" s="175"/>
      <c r="K3" s="44"/>
      <c r="L3" s="44"/>
      <c r="M3" s="44"/>
      <c r="N3" s="44"/>
      <c r="O3" s="44"/>
      <c r="P3" s="162"/>
      <c r="Q3" s="163"/>
      <c r="R3" s="163"/>
      <c r="S3" s="163"/>
      <c r="T3" s="163"/>
      <c r="U3" s="163"/>
      <c r="V3" s="163"/>
      <c r="W3" s="163"/>
      <c r="X3" s="217"/>
      <c r="Y3" s="217"/>
      <c r="Z3" s="217"/>
      <c r="AA3" s="217"/>
      <c r="AB3" s="217"/>
      <c r="AC3" s="218"/>
    </row>
    <row r="4" spans="1:29" s="4" customFormat="1" ht="18.75" customHeight="1" thickBot="1" x14ac:dyDescent="0.3">
      <c r="A4" s="215"/>
      <c r="B4" s="219"/>
      <c r="C4" s="175"/>
      <c r="D4" s="287"/>
      <c r="E4" s="288"/>
      <c r="F4" s="289"/>
      <c r="G4" s="287" t="s">
        <v>3</v>
      </c>
      <c r="H4" s="290" t="s">
        <v>4</v>
      </c>
      <c r="I4" s="289" t="s">
        <v>5</v>
      </c>
      <c r="J4" s="175"/>
      <c r="K4" s="44"/>
      <c r="L4" s="44"/>
      <c r="M4" s="45"/>
      <c r="N4" s="45"/>
      <c r="O4" s="45"/>
      <c r="P4" s="156"/>
      <c r="Q4" s="291" t="s">
        <v>6</v>
      </c>
      <c r="R4" s="292"/>
      <c r="S4" s="292"/>
      <c r="T4" s="292"/>
      <c r="U4" s="292"/>
      <c r="V4" s="292"/>
      <c r="W4" s="293"/>
      <c r="X4" s="222"/>
      <c r="Y4" s="222"/>
      <c r="Z4" s="223"/>
      <c r="AA4" s="222"/>
      <c r="AB4" s="224"/>
      <c r="AC4" s="225"/>
    </row>
    <row r="5" spans="1:29" s="4" customFormat="1" ht="18.75" customHeight="1" thickBot="1" x14ac:dyDescent="0.3">
      <c r="A5" s="215"/>
      <c r="B5" s="5"/>
      <c r="C5" s="153"/>
      <c r="D5" s="294" t="s">
        <v>7</v>
      </c>
      <c r="E5" s="295" t="s">
        <v>8</v>
      </c>
      <c r="F5" s="296" t="s">
        <v>9</v>
      </c>
      <c r="G5" s="294" t="s">
        <v>10</v>
      </c>
      <c r="H5" s="297" t="s">
        <v>11</v>
      </c>
      <c r="I5" s="296" t="s">
        <v>11</v>
      </c>
      <c r="J5" s="175"/>
      <c r="K5" s="44"/>
      <c r="L5" s="44"/>
      <c r="M5" s="45"/>
      <c r="N5" s="45"/>
      <c r="O5" s="45"/>
      <c r="P5" s="156"/>
      <c r="Q5" s="298" t="s">
        <v>166</v>
      </c>
      <c r="R5" s="299" t="str">
        <f>+R14</f>
        <v>Ca</v>
      </c>
      <c r="S5" s="299" t="str">
        <f t="shared" ref="S5:W6" si="0">+S14</f>
        <v>P</v>
      </c>
      <c r="T5" s="299" t="str">
        <f t="shared" si="0"/>
        <v>Na</v>
      </c>
      <c r="U5" s="299" t="str">
        <f t="shared" si="0"/>
        <v>Mg</v>
      </c>
      <c r="V5" s="299" t="str">
        <f t="shared" ref="V5" si="1">+V14</f>
        <v>K</v>
      </c>
      <c r="W5" s="299" t="str">
        <f t="shared" si="0"/>
        <v>Se</v>
      </c>
      <c r="X5" s="227" t="s">
        <v>18</v>
      </c>
      <c r="Y5" s="228" t="s">
        <v>19</v>
      </c>
      <c r="Z5" s="227" t="s">
        <v>20</v>
      </c>
      <c r="AA5" s="228" t="s">
        <v>21</v>
      </c>
      <c r="AB5" s="229" t="s">
        <v>22</v>
      </c>
      <c r="AC5" s="230"/>
    </row>
    <row r="6" spans="1:29" s="4" customFormat="1" ht="18.75" customHeight="1" thickBot="1" x14ac:dyDescent="0.3">
      <c r="A6" s="215"/>
      <c r="B6" s="220"/>
      <c r="C6" s="153"/>
      <c r="D6" s="300">
        <f>[0]!LakNr</f>
        <v>0</v>
      </c>
      <c r="E6" s="301">
        <f>LaktTag</f>
        <v>0</v>
      </c>
      <c r="F6" s="302">
        <f>+'Ration Milch'!I11</f>
        <v>0</v>
      </c>
      <c r="G6" s="300">
        <f>M_kg</f>
        <v>0</v>
      </c>
      <c r="H6" s="303">
        <f>+'Ration Milch'!K11</f>
        <v>0</v>
      </c>
      <c r="I6" s="303">
        <f>+'Ration Milch'!L11</f>
        <v>0</v>
      </c>
      <c r="J6" s="175"/>
      <c r="K6" s="44"/>
      <c r="L6" s="44"/>
      <c r="M6" s="46"/>
      <c r="N6" s="46"/>
      <c r="O6" s="46"/>
      <c r="P6" s="164"/>
      <c r="Q6" s="304" t="s">
        <v>9</v>
      </c>
      <c r="R6" s="305" t="str">
        <f>+R15</f>
        <v>g</v>
      </c>
      <c r="S6" s="305" t="str">
        <f t="shared" si="0"/>
        <v>g</v>
      </c>
      <c r="T6" s="305" t="str">
        <f t="shared" si="0"/>
        <v>g</v>
      </c>
      <c r="U6" s="305" t="str">
        <f t="shared" si="0"/>
        <v>g</v>
      </c>
      <c r="V6" s="305" t="str">
        <f t="shared" ref="V6" si="2">+V15</f>
        <v>g</v>
      </c>
      <c r="W6" s="305" t="str">
        <f t="shared" si="0"/>
        <v>mg</v>
      </c>
      <c r="X6" s="231" t="s">
        <v>24</v>
      </c>
      <c r="Y6" s="232" t="s">
        <v>24</v>
      </c>
      <c r="Z6" s="231"/>
      <c r="AA6" s="232" t="s">
        <v>24</v>
      </c>
      <c r="AB6" s="233" t="s">
        <v>24</v>
      </c>
      <c r="AC6" s="230"/>
    </row>
    <row r="7" spans="1:29" s="4" customFormat="1" ht="18.75" customHeight="1" thickBot="1" x14ac:dyDescent="0.3">
      <c r="A7" s="215"/>
      <c r="B7" s="220"/>
      <c r="C7" s="153"/>
      <c r="D7" s="153"/>
      <c r="E7" s="154"/>
      <c r="F7" s="154"/>
      <c r="G7" s="154"/>
      <c r="H7" s="154"/>
      <c r="I7" s="154"/>
      <c r="J7" s="154"/>
      <c r="K7" s="159"/>
      <c r="L7" s="159"/>
      <c r="M7" s="159"/>
      <c r="N7" s="153" t="s">
        <v>282</v>
      </c>
      <c r="O7" s="159"/>
      <c r="P7" s="166"/>
      <c r="Q7" s="306">
        <f>+Q37</f>
        <v>0</v>
      </c>
      <c r="R7" s="307">
        <v>2</v>
      </c>
      <c r="S7" s="308">
        <v>1.4</v>
      </c>
      <c r="T7" s="308">
        <v>0.7</v>
      </c>
      <c r="U7" s="308">
        <v>0.8</v>
      </c>
      <c r="V7" s="308">
        <v>1.8</v>
      </c>
      <c r="W7" s="309">
        <v>0.2</v>
      </c>
      <c r="X7" s="234"/>
      <c r="Y7" s="234"/>
      <c r="Z7" s="234"/>
      <c r="AA7" s="234"/>
      <c r="AB7" s="234"/>
      <c r="AC7" s="230"/>
    </row>
    <row r="8" spans="1:29" s="4" customFormat="1" ht="18.75" customHeight="1" thickBot="1" x14ac:dyDescent="0.3">
      <c r="A8" s="215"/>
      <c r="B8" s="226"/>
      <c r="C8" s="153"/>
      <c r="D8" s="153"/>
      <c r="E8" s="154"/>
      <c r="F8" s="154"/>
      <c r="G8" s="154"/>
      <c r="H8" s="154"/>
      <c r="I8" s="154"/>
      <c r="J8" s="154"/>
      <c r="K8" s="154"/>
      <c r="L8" s="154"/>
      <c r="M8" s="154"/>
      <c r="N8" s="154"/>
      <c r="O8" s="154"/>
      <c r="P8" s="310" t="s">
        <v>38</v>
      </c>
      <c r="Q8" s="311"/>
      <c r="R8" s="312">
        <f t="shared" ref="R8:W8" si="3">+R7*$Q$7</f>
        <v>0</v>
      </c>
      <c r="S8" s="313">
        <f t="shared" si="3"/>
        <v>0</v>
      </c>
      <c r="T8" s="313">
        <f t="shared" si="3"/>
        <v>0</v>
      </c>
      <c r="U8" s="313">
        <f t="shared" si="3"/>
        <v>0</v>
      </c>
      <c r="V8" s="313">
        <f t="shared" si="3"/>
        <v>0</v>
      </c>
      <c r="W8" s="314">
        <f t="shared" si="3"/>
        <v>0</v>
      </c>
      <c r="X8" s="234"/>
      <c r="Y8" s="234"/>
      <c r="Z8" s="234"/>
      <c r="AA8" s="234"/>
      <c r="AB8" s="234"/>
      <c r="AC8" s="230"/>
    </row>
    <row r="9" spans="1:29" s="4" customFormat="1" ht="18.75" customHeight="1" x14ac:dyDescent="0.25">
      <c r="A9" s="216"/>
      <c r="B9" s="226"/>
      <c r="C9" s="315">
        <v>0</v>
      </c>
      <c r="D9" s="153"/>
      <c r="E9" s="316"/>
      <c r="F9" s="158"/>
      <c r="G9" s="159"/>
      <c r="H9" s="159"/>
      <c r="I9" s="159"/>
      <c r="J9" s="159"/>
      <c r="K9" s="159"/>
      <c r="L9" s="152"/>
      <c r="M9" s="152"/>
      <c r="N9" s="153" t="s">
        <v>283</v>
      </c>
      <c r="O9" s="152"/>
      <c r="P9" s="152"/>
      <c r="Q9" s="311"/>
      <c r="R9" s="317">
        <v>2.5</v>
      </c>
      <c r="S9" s="318">
        <v>1.4</v>
      </c>
      <c r="T9" s="318">
        <v>0.5</v>
      </c>
      <c r="U9" s="318">
        <v>0.4</v>
      </c>
      <c r="V9" s="318">
        <v>1.4</v>
      </c>
      <c r="W9" s="319"/>
      <c r="X9" s="5"/>
      <c r="Y9" s="5"/>
      <c r="Z9" s="5"/>
      <c r="AA9" s="5"/>
      <c r="AB9" s="235"/>
      <c r="AC9" s="236"/>
    </row>
    <row r="10" spans="1:29" s="4" customFormat="1" ht="18.75" customHeight="1" thickBot="1" x14ac:dyDescent="0.3">
      <c r="A10" s="216"/>
      <c r="B10" s="226"/>
      <c r="C10" s="153"/>
      <c r="D10" s="153"/>
      <c r="E10" s="156"/>
      <c r="F10" s="154"/>
      <c r="G10" s="160"/>
      <c r="H10" s="154"/>
      <c r="I10" s="154"/>
      <c r="J10" s="159"/>
      <c r="K10" s="159"/>
      <c r="L10" s="159"/>
      <c r="M10" s="159"/>
      <c r="N10" s="159"/>
      <c r="O10" s="159"/>
      <c r="P10" s="310" t="s">
        <v>39</v>
      </c>
      <c r="Q10" s="311"/>
      <c r="R10" s="312">
        <f>+IF($G$6="t",13,$G$6*R9)</f>
        <v>0</v>
      </c>
      <c r="S10" s="313">
        <f>+IF($G$6="t",7,$G$6*S9)</f>
        <v>0</v>
      </c>
      <c r="T10" s="313">
        <f>+IF($G$6="t",9,$G$6*T9)</f>
        <v>0</v>
      </c>
      <c r="U10" s="313">
        <f>+IF($G$6="t",2,$G$6*U9)</f>
        <v>0</v>
      </c>
      <c r="V10" s="313">
        <f>+IF($G$6="t",2,$G$6*V9)</f>
        <v>0</v>
      </c>
      <c r="W10" s="314">
        <f>+IF($G$6="t",0,$G$6*W9)</f>
        <v>0</v>
      </c>
      <c r="X10" s="5"/>
      <c r="Y10" s="5"/>
      <c r="Z10" s="5"/>
      <c r="AA10" s="5"/>
      <c r="AB10" s="5"/>
      <c r="AC10" s="176"/>
    </row>
    <row r="11" spans="1:29" s="4" customFormat="1" ht="18.75" customHeight="1" thickBot="1" x14ac:dyDescent="0.3">
      <c r="A11" s="216"/>
      <c r="B11" s="221"/>
      <c r="C11" s="156"/>
      <c r="D11" s="156"/>
      <c r="E11" s="154"/>
      <c r="F11" s="154"/>
      <c r="G11" s="154"/>
      <c r="H11" s="154"/>
      <c r="I11" s="154"/>
      <c r="J11" s="154"/>
      <c r="K11" s="154"/>
      <c r="L11" s="154"/>
      <c r="M11" s="154"/>
      <c r="N11" s="154"/>
      <c r="O11" s="154"/>
      <c r="P11" s="154"/>
      <c r="Q11" s="154"/>
      <c r="R11" s="320">
        <f t="shared" ref="R11:W11" si="4">R10+R8</f>
        <v>0</v>
      </c>
      <c r="S11" s="321">
        <f t="shared" si="4"/>
        <v>0</v>
      </c>
      <c r="T11" s="322">
        <f t="shared" si="4"/>
        <v>0</v>
      </c>
      <c r="U11" s="323">
        <f t="shared" si="4"/>
        <v>0</v>
      </c>
      <c r="V11" s="323">
        <f t="shared" si="4"/>
        <v>0</v>
      </c>
      <c r="W11" s="324">
        <f t="shared" si="4"/>
        <v>0</v>
      </c>
      <c r="X11" s="238" t="str">
        <f>IF(Q37=0,"16 - 18%","&gt;"&amp;Q37*160)</f>
        <v>16 - 18%</v>
      </c>
      <c r="Y11" s="238" t="str">
        <f>IF(Q37=0,"10 - 12%","&gt;"&amp;Q37*100)</f>
        <v>10 - 12%</v>
      </c>
      <c r="Z11" s="238" t="s">
        <v>28</v>
      </c>
      <c r="AA11" s="238" t="str">
        <f>IF(Q37=0,"19 - 21%","&gt;"&amp;Q37*190)</f>
        <v>19 - 21%</v>
      </c>
      <c r="AB11" s="239" t="str">
        <f>IF(Q37=0,"27 - 30%","&gt;"&amp;Q37*270)</f>
        <v>27 - 30%</v>
      </c>
      <c r="AC11" s="240"/>
    </row>
    <row r="12" spans="1:29" s="4" customFormat="1" ht="4.5" customHeight="1" thickBot="1" x14ac:dyDescent="0.3">
      <c r="A12" s="216"/>
      <c r="B12" s="221"/>
      <c r="C12" s="156"/>
      <c r="D12" s="156"/>
      <c r="E12" s="154"/>
      <c r="F12" s="156"/>
      <c r="G12" s="156"/>
      <c r="H12" s="156"/>
      <c r="I12" s="156"/>
      <c r="J12" s="156"/>
      <c r="K12" s="156"/>
      <c r="L12" s="154"/>
      <c r="M12" s="154"/>
      <c r="N12" s="154"/>
      <c r="O12" s="154"/>
      <c r="P12" s="154"/>
      <c r="Q12" s="154"/>
      <c r="R12" s="154"/>
      <c r="S12" s="168"/>
      <c r="T12" s="168"/>
      <c r="U12" s="168"/>
      <c r="V12" s="168"/>
      <c r="W12" s="167"/>
      <c r="X12" s="241"/>
      <c r="Y12" s="241"/>
      <c r="Z12" s="241"/>
      <c r="AA12" s="241"/>
      <c r="AB12" s="175"/>
      <c r="AC12" s="176"/>
    </row>
    <row r="13" spans="1:29" s="4" customFormat="1" ht="18.75" customHeight="1" thickBot="1" x14ac:dyDescent="0.3">
      <c r="A13" s="216"/>
      <c r="B13" s="242" t="s">
        <v>29</v>
      </c>
      <c r="C13" s="156"/>
      <c r="D13" s="325"/>
      <c r="E13" s="326" t="s">
        <v>263</v>
      </c>
      <c r="F13" s="327"/>
      <c r="G13" s="327"/>
      <c r="H13" s="327"/>
      <c r="I13" s="327"/>
      <c r="J13" s="328"/>
      <c r="K13" s="327"/>
      <c r="L13" s="327"/>
      <c r="M13" s="327"/>
      <c r="N13" s="292"/>
      <c r="O13" s="292"/>
      <c r="P13" s="292"/>
      <c r="Q13" s="329" t="s">
        <v>30</v>
      </c>
      <c r="R13" s="292"/>
      <c r="S13" s="292"/>
      <c r="T13" s="292"/>
      <c r="U13" s="292"/>
      <c r="V13" s="292"/>
      <c r="W13" s="330"/>
      <c r="X13" s="222"/>
      <c r="Y13" s="222"/>
      <c r="Z13" s="223"/>
      <c r="AA13" s="222"/>
      <c r="AB13" s="224"/>
      <c r="AC13" s="225"/>
    </row>
    <row r="14" spans="1:29" s="4" customFormat="1" ht="18.75" customHeight="1" thickBot="1" x14ac:dyDescent="0.3">
      <c r="A14" s="216"/>
      <c r="B14" s="221"/>
      <c r="C14" s="156"/>
      <c r="D14" s="331" t="s">
        <v>12</v>
      </c>
      <c r="E14" s="331" t="s">
        <v>40</v>
      </c>
      <c r="F14" s="332" t="s">
        <v>41</v>
      </c>
      <c r="G14" s="332" t="s">
        <v>42</v>
      </c>
      <c r="H14" s="332" t="s">
        <v>43</v>
      </c>
      <c r="I14" s="334" t="s">
        <v>44</v>
      </c>
      <c r="J14" s="333" t="s">
        <v>391</v>
      </c>
      <c r="K14" s="332" t="s">
        <v>18</v>
      </c>
      <c r="L14" s="332" t="s">
        <v>19</v>
      </c>
      <c r="M14" s="334" t="s">
        <v>20</v>
      </c>
      <c r="N14" s="335" t="s">
        <v>21</v>
      </c>
      <c r="O14" s="336" t="s">
        <v>22</v>
      </c>
      <c r="P14" s="337" t="str">
        <f>'Ration Milch'!U18</f>
        <v>FM</v>
      </c>
      <c r="Q14" s="338" t="str">
        <f>'Ration Milch'!V18</f>
        <v>TM</v>
      </c>
      <c r="R14" s="339" t="str">
        <f t="shared" ref="R14:AA14" si="5">+E14</f>
        <v>Ca</v>
      </c>
      <c r="S14" s="340" t="str">
        <f t="shared" si="5"/>
        <v>P</v>
      </c>
      <c r="T14" s="340" t="str">
        <f t="shared" si="5"/>
        <v>Na</v>
      </c>
      <c r="U14" s="340" t="str">
        <f t="shared" si="5"/>
        <v>Mg</v>
      </c>
      <c r="V14" s="340" t="str">
        <f t="shared" si="5"/>
        <v>K</v>
      </c>
      <c r="W14" s="341" t="str">
        <f t="shared" si="5"/>
        <v>Se</v>
      </c>
      <c r="X14" s="243" t="str">
        <f t="shared" si="5"/>
        <v>XF</v>
      </c>
      <c r="Y14" s="243" t="str">
        <f t="shared" si="5"/>
        <v>sXF</v>
      </c>
      <c r="Z14" s="243" t="str">
        <f t="shared" si="5"/>
        <v>SW</v>
      </c>
      <c r="AA14" s="243" t="str">
        <f t="shared" si="5"/>
        <v>ADF</v>
      </c>
      <c r="AB14" s="244" t="s">
        <v>22</v>
      </c>
      <c r="AC14" s="245"/>
    </row>
    <row r="15" spans="1:29" s="4" customFormat="1" ht="18.75" customHeight="1" thickBot="1" x14ac:dyDescent="0.3">
      <c r="A15" s="216"/>
      <c r="B15" s="235"/>
      <c r="C15" s="342" t="s">
        <v>146</v>
      </c>
      <c r="D15" s="343" t="s">
        <v>11</v>
      </c>
      <c r="E15" s="344" t="s">
        <v>45</v>
      </c>
      <c r="F15" s="345" t="s">
        <v>24</v>
      </c>
      <c r="G15" s="345" t="s">
        <v>24</v>
      </c>
      <c r="H15" s="345" t="s">
        <v>24</v>
      </c>
      <c r="I15" s="1125" t="s">
        <v>24</v>
      </c>
      <c r="J15" s="346" t="s">
        <v>392</v>
      </c>
      <c r="K15" s="347" t="s">
        <v>24</v>
      </c>
      <c r="L15" s="347" t="s">
        <v>31</v>
      </c>
      <c r="M15" s="348"/>
      <c r="N15" s="349" t="s">
        <v>24</v>
      </c>
      <c r="O15" s="350" t="s">
        <v>24</v>
      </c>
      <c r="P15" s="351" t="str">
        <f>'Ration Milch'!U19</f>
        <v>kg</v>
      </c>
      <c r="Q15" s="352" t="str">
        <f>'Ration Milch'!V19</f>
        <v>kg</v>
      </c>
      <c r="R15" s="353" t="s">
        <v>24</v>
      </c>
      <c r="S15" s="305" t="s">
        <v>24</v>
      </c>
      <c r="T15" s="305" t="s">
        <v>24</v>
      </c>
      <c r="U15" s="305" t="s">
        <v>24</v>
      </c>
      <c r="V15" s="305" t="s">
        <v>24</v>
      </c>
      <c r="W15" s="350" t="s">
        <v>392</v>
      </c>
      <c r="X15" s="231" t="s">
        <v>24</v>
      </c>
      <c r="Y15" s="231" t="s">
        <v>24</v>
      </c>
      <c r="Z15" s="231"/>
      <c r="AA15" s="231" t="s">
        <v>24</v>
      </c>
      <c r="AB15" s="233" t="s">
        <v>24</v>
      </c>
      <c r="AC15" s="230"/>
    </row>
    <row r="16" spans="1:29" s="6" customFormat="1" ht="18.75" customHeight="1" thickBot="1" x14ac:dyDescent="0.3">
      <c r="A16" s="216"/>
      <c r="B16" s="246">
        <f>+'Ration Milch'!C20</f>
        <v>126</v>
      </c>
      <c r="C16" s="354">
        <f t="shared" ref="C16:C21" si="6">INDEX(Tabelle,$B16,1)</f>
        <v>0</v>
      </c>
      <c r="D16" s="355" t="str">
        <f t="shared" ref="D16:D21" si="7">IF(INDEX(Tabelle,$B16,2)="","",INDEX(Tabelle,$B16,2)/10)</f>
        <v/>
      </c>
      <c r="E16" s="356">
        <f t="shared" ref="E16:E21" si="8">ROUND(INDEX(Tabelle,$B16,19),1)</f>
        <v>0</v>
      </c>
      <c r="F16" s="357">
        <f t="shared" ref="F16:F21" si="9">ROUND(INDEX(Tabelle,$B16,20),1)</f>
        <v>0</v>
      </c>
      <c r="G16" s="357">
        <f t="shared" ref="G16:G21" si="10">ROUND(INDEX(Tabelle,$B16,21),1)</f>
        <v>0</v>
      </c>
      <c r="H16" s="357">
        <f t="shared" ref="H16:H21" si="11">ROUND(INDEX(Tabelle,$B16,22),1)</f>
        <v>0</v>
      </c>
      <c r="I16" s="357">
        <f t="shared" ref="I16:I21" si="12">ROUND(INDEX(Tabelle,$B16,23),1)</f>
        <v>0</v>
      </c>
      <c r="J16" s="358">
        <f t="shared" ref="J16:J21" si="13">ROUND(INDEX(Tabelle,$B16,24),1)</f>
        <v>0</v>
      </c>
      <c r="K16" s="359">
        <f t="shared" ref="K16:K21" si="14">INDEX(Tabelle,$B16,10)</f>
        <v>0</v>
      </c>
      <c r="L16" s="357">
        <f t="shared" ref="L16:L21" si="15">INDEX(Tabelle,$B16,11)</f>
        <v>0</v>
      </c>
      <c r="M16" s="357">
        <f t="shared" ref="M16:M21" si="16">INDEX(Tabelle,$B16,12)</f>
        <v>0</v>
      </c>
      <c r="N16" s="360">
        <f t="shared" ref="N16:N21" si="17">INDEX(Tabelle,$B16,13)</f>
        <v>0</v>
      </c>
      <c r="O16" s="361">
        <f t="shared" ref="O16:O21" si="18">INDEX(Tabelle,$B16,14)</f>
        <v>0</v>
      </c>
      <c r="P16" s="362">
        <f>'Ration Milch'!U20</f>
        <v>0</v>
      </c>
      <c r="Q16" s="363">
        <f>'Ration Milch'!V20</f>
        <v>0</v>
      </c>
      <c r="R16" s="364">
        <f t="shared" ref="R16:R21" si="19">Q16*E16</f>
        <v>0</v>
      </c>
      <c r="S16" s="365">
        <f t="shared" ref="S16:S21" si="20">Q16*F16</f>
        <v>0</v>
      </c>
      <c r="T16" s="365">
        <f t="shared" ref="T16:T21" si="21">Q16*G16</f>
        <v>0</v>
      </c>
      <c r="U16" s="365">
        <f t="shared" ref="U16:U21" si="22">+Q16*H16</f>
        <v>0</v>
      </c>
      <c r="V16" s="365">
        <f>+Q16*I16</f>
        <v>0</v>
      </c>
      <c r="W16" s="366">
        <f t="shared" ref="W16:W21" si="23">+Q16*J16</f>
        <v>0</v>
      </c>
      <c r="X16" s="247">
        <f t="shared" ref="X16:X21" si="24">Q16*K16</f>
        <v>0</v>
      </c>
      <c r="Y16" s="247">
        <f t="shared" ref="Y16:Y21" si="25">+K16*L16*Q16</f>
        <v>0</v>
      </c>
      <c r="Z16" s="248">
        <f t="shared" ref="Z16:Z21" si="26">+Q16*M16</f>
        <v>0</v>
      </c>
      <c r="AA16" s="247">
        <f t="shared" ref="AA16:AB21" si="27">IF(N16="-","k.A.",N16*$Q16)</f>
        <v>0</v>
      </c>
      <c r="AB16" s="249">
        <f t="shared" si="27"/>
        <v>0</v>
      </c>
      <c r="AC16" s="1140" t="str">
        <f>IF(Q16=0,"",IF(COUNTIF(C16:J16,0)&gt;0,"?",""))</f>
        <v/>
      </c>
    </row>
    <row r="17" spans="1:29" s="6" customFormat="1" ht="18.75" customHeight="1" thickBot="1" x14ac:dyDescent="0.3">
      <c r="A17" s="216"/>
      <c r="B17" s="246">
        <f>+'Ration Milch'!C21</f>
        <v>70</v>
      </c>
      <c r="C17" s="367">
        <f t="shared" si="6"/>
        <v>0</v>
      </c>
      <c r="D17" s="368" t="str">
        <f t="shared" si="7"/>
        <v/>
      </c>
      <c r="E17" s="369">
        <f t="shared" si="8"/>
        <v>0</v>
      </c>
      <c r="F17" s="370">
        <f t="shared" si="9"/>
        <v>0</v>
      </c>
      <c r="G17" s="370">
        <f t="shared" si="10"/>
        <v>0</v>
      </c>
      <c r="H17" s="370">
        <f t="shared" si="11"/>
        <v>0</v>
      </c>
      <c r="I17" s="370">
        <f t="shared" si="12"/>
        <v>0</v>
      </c>
      <c r="J17" s="371">
        <f t="shared" si="13"/>
        <v>0</v>
      </c>
      <c r="K17" s="372">
        <f t="shared" si="14"/>
        <v>0</v>
      </c>
      <c r="L17" s="370">
        <f t="shared" si="15"/>
        <v>0</v>
      </c>
      <c r="M17" s="370">
        <f t="shared" si="16"/>
        <v>0</v>
      </c>
      <c r="N17" s="373">
        <f t="shared" si="17"/>
        <v>0</v>
      </c>
      <c r="O17" s="374">
        <f t="shared" si="18"/>
        <v>0</v>
      </c>
      <c r="P17" s="375">
        <f>'Ration Milch'!U21</f>
        <v>0</v>
      </c>
      <c r="Q17" s="376">
        <f>'Ration Milch'!V21</f>
        <v>0</v>
      </c>
      <c r="R17" s="377">
        <f t="shared" si="19"/>
        <v>0</v>
      </c>
      <c r="S17" s="378">
        <f t="shared" si="20"/>
        <v>0</v>
      </c>
      <c r="T17" s="378">
        <f t="shared" si="21"/>
        <v>0</v>
      </c>
      <c r="U17" s="378">
        <f t="shared" si="22"/>
        <v>0</v>
      </c>
      <c r="V17" s="378">
        <f t="shared" ref="V17:V21" si="28">+Q17*I17</f>
        <v>0</v>
      </c>
      <c r="W17" s="379">
        <f t="shared" si="23"/>
        <v>0</v>
      </c>
      <c r="X17" s="251">
        <f t="shared" si="24"/>
        <v>0</v>
      </c>
      <c r="Y17" s="251">
        <f t="shared" si="25"/>
        <v>0</v>
      </c>
      <c r="Z17" s="252">
        <f t="shared" si="26"/>
        <v>0</v>
      </c>
      <c r="AA17" s="251">
        <f t="shared" si="27"/>
        <v>0</v>
      </c>
      <c r="AB17" s="253">
        <f t="shared" si="27"/>
        <v>0</v>
      </c>
      <c r="AC17" s="1140" t="str">
        <f t="shared" ref="AC17:AC21" si="29">IF(Q17=0,"",IF(COUNTIF(C17:J17,0)&gt;0,"?",""))</f>
        <v/>
      </c>
    </row>
    <row r="18" spans="1:29" s="6" customFormat="1" ht="18.75" customHeight="1" thickBot="1" x14ac:dyDescent="0.3">
      <c r="A18" s="216"/>
      <c r="B18" s="246">
        <f>+'Ration Milch'!C22</f>
        <v>26</v>
      </c>
      <c r="C18" s="367">
        <f t="shared" si="6"/>
        <v>0</v>
      </c>
      <c r="D18" s="368" t="str">
        <f t="shared" si="7"/>
        <v/>
      </c>
      <c r="E18" s="369">
        <f t="shared" si="8"/>
        <v>0</v>
      </c>
      <c r="F18" s="370">
        <f t="shared" si="9"/>
        <v>0</v>
      </c>
      <c r="G18" s="370">
        <f t="shared" si="10"/>
        <v>0</v>
      </c>
      <c r="H18" s="370">
        <f t="shared" si="11"/>
        <v>0</v>
      </c>
      <c r="I18" s="370">
        <f t="shared" si="12"/>
        <v>0</v>
      </c>
      <c r="J18" s="371">
        <f t="shared" si="13"/>
        <v>0</v>
      </c>
      <c r="K18" s="372">
        <f t="shared" si="14"/>
        <v>0</v>
      </c>
      <c r="L18" s="370">
        <f t="shared" si="15"/>
        <v>0</v>
      </c>
      <c r="M18" s="370">
        <f t="shared" si="16"/>
        <v>0</v>
      </c>
      <c r="N18" s="373">
        <f t="shared" si="17"/>
        <v>0</v>
      </c>
      <c r="O18" s="374">
        <f t="shared" si="18"/>
        <v>0</v>
      </c>
      <c r="P18" s="375">
        <f>'Ration Milch'!U22</f>
        <v>0</v>
      </c>
      <c r="Q18" s="376">
        <f>'Ration Milch'!V22</f>
        <v>0</v>
      </c>
      <c r="R18" s="377">
        <f t="shared" si="19"/>
        <v>0</v>
      </c>
      <c r="S18" s="378">
        <f t="shared" si="20"/>
        <v>0</v>
      </c>
      <c r="T18" s="378">
        <f t="shared" si="21"/>
        <v>0</v>
      </c>
      <c r="U18" s="378">
        <f t="shared" si="22"/>
        <v>0</v>
      </c>
      <c r="V18" s="378">
        <f t="shared" si="28"/>
        <v>0</v>
      </c>
      <c r="W18" s="379">
        <f t="shared" si="23"/>
        <v>0</v>
      </c>
      <c r="X18" s="251">
        <f t="shared" si="24"/>
        <v>0</v>
      </c>
      <c r="Y18" s="251">
        <f t="shared" si="25"/>
        <v>0</v>
      </c>
      <c r="Z18" s="252">
        <f t="shared" si="26"/>
        <v>0</v>
      </c>
      <c r="AA18" s="251">
        <f t="shared" si="27"/>
        <v>0</v>
      </c>
      <c r="AB18" s="253">
        <f t="shared" si="27"/>
        <v>0</v>
      </c>
      <c r="AC18" s="1140" t="str">
        <f t="shared" si="29"/>
        <v/>
      </c>
    </row>
    <row r="19" spans="1:29" s="6" customFormat="1" ht="18.75" customHeight="1" thickBot="1" x14ac:dyDescent="0.3">
      <c r="A19" s="216"/>
      <c r="B19" s="246">
        <f>+'Ration Milch'!C23</f>
        <v>27</v>
      </c>
      <c r="C19" s="367">
        <f t="shared" si="6"/>
        <v>0</v>
      </c>
      <c r="D19" s="368" t="str">
        <f t="shared" si="7"/>
        <v/>
      </c>
      <c r="E19" s="369">
        <f t="shared" si="8"/>
        <v>0</v>
      </c>
      <c r="F19" s="370">
        <f t="shared" si="9"/>
        <v>0</v>
      </c>
      <c r="G19" s="370">
        <f t="shared" si="10"/>
        <v>0</v>
      </c>
      <c r="H19" s="370">
        <f t="shared" si="11"/>
        <v>0</v>
      </c>
      <c r="I19" s="370">
        <f t="shared" si="12"/>
        <v>0</v>
      </c>
      <c r="J19" s="371">
        <f t="shared" si="13"/>
        <v>0</v>
      </c>
      <c r="K19" s="372">
        <f t="shared" si="14"/>
        <v>0</v>
      </c>
      <c r="L19" s="370">
        <f t="shared" si="15"/>
        <v>0</v>
      </c>
      <c r="M19" s="370">
        <f t="shared" si="16"/>
        <v>0</v>
      </c>
      <c r="N19" s="373">
        <f t="shared" si="17"/>
        <v>0</v>
      </c>
      <c r="O19" s="374">
        <f t="shared" si="18"/>
        <v>0</v>
      </c>
      <c r="P19" s="375">
        <f>'Ration Milch'!U23</f>
        <v>0</v>
      </c>
      <c r="Q19" s="376">
        <f>'Ration Milch'!V23</f>
        <v>0</v>
      </c>
      <c r="R19" s="377">
        <f t="shared" si="19"/>
        <v>0</v>
      </c>
      <c r="S19" s="378">
        <f t="shared" si="20"/>
        <v>0</v>
      </c>
      <c r="T19" s="378">
        <f t="shared" si="21"/>
        <v>0</v>
      </c>
      <c r="U19" s="378">
        <f t="shared" si="22"/>
        <v>0</v>
      </c>
      <c r="V19" s="378">
        <f t="shared" si="28"/>
        <v>0</v>
      </c>
      <c r="W19" s="379">
        <f t="shared" si="23"/>
        <v>0</v>
      </c>
      <c r="X19" s="251">
        <f t="shared" si="24"/>
        <v>0</v>
      </c>
      <c r="Y19" s="251">
        <f t="shared" si="25"/>
        <v>0</v>
      </c>
      <c r="Z19" s="252">
        <f t="shared" si="26"/>
        <v>0</v>
      </c>
      <c r="AA19" s="251">
        <f t="shared" si="27"/>
        <v>0</v>
      </c>
      <c r="AB19" s="253">
        <f t="shared" si="27"/>
        <v>0</v>
      </c>
      <c r="AC19" s="1140" t="str">
        <f t="shared" si="29"/>
        <v/>
      </c>
    </row>
    <row r="20" spans="1:29" s="6" customFormat="1" ht="18.75" customHeight="1" thickBot="1" x14ac:dyDescent="0.3">
      <c r="A20" s="216"/>
      <c r="B20" s="246">
        <f>+'Ration Milch'!C24</f>
        <v>8</v>
      </c>
      <c r="C20" s="367">
        <f t="shared" si="6"/>
        <v>0</v>
      </c>
      <c r="D20" s="368" t="str">
        <f t="shared" si="7"/>
        <v/>
      </c>
      <c r="E20" s="369">
        <f t="shared" si="8"/>
        <v>0</v>
      </c>
      <c r="F20" s="370">
        <f t="shared" si="9"/>
        <v>0</v>
      </c>
      <c r="G20" s="370">
        <f t="shared" si="10"/>
        <v>0</v>
      </c>
      <c r="H20" s="370">
        <f t="shared" si="11"/>
        <v>0</v>
      </c>
      <c r="I20" s="370">
        <f t="shared" si="12"/>
        <v>0</v>
      </c>
      <c r="J20" s="371">
        <f t="shared" si="13"/>
        <v>0</v>
      </c>
      <c r="K20" s="372">
        <f t="shared" si="14"/>
        <v>0</v>
      </c>
      <c r="L20" s="370">
        <f t="shared" si="15"/>
        <v>0</v>
      </c>
      <c r="M20" s="370">
        <f t="shared" si="16"/>
        <v>0</v>
      </c>
      <c r="N20" s="373">
        <f t="shared" si="17"/>
        <v>0</v>
      </c>
      <c r="O20" s="374">
        <f t="shared" si="18"/>
        <v>0</v>
      </c>
      <c r="P20" s="375">
        <f>'Ration Milch'!U24</f>
        <v>0</v>
      </c>
      <c r="Q20" s="376">
        <f>'Ration Milch'!V24</f>
        <v>0</v>
      </c>
      <c r="R20" s="377">
        <f t="shared" si="19"/>
        <v>0</v>
      </c>
      <c r="S20" s="378">
        <f t="shared" si="20"/>
        <v>0</v>
      </c>
      <c r="T20" s="378">
        <f t="shared" si="21"/>
        <v>0</v>
      </c>
      <c r="U20" s="378">
        <f t="shared" si="22"/>
        <v>0</v>
      </c>
      <c r="V20" s="378">
        <f t="shared" si="28"/>
        <v>0</v>
      </c>
      <c r="W20" s="379">
        <f t="shared" si="23"/>
        <v>0</v>
      </c>
      <c r="X20" s="251">
        <f t="shared" si="24"/>
        <v>0</v>
      </c>
      <c r="Y20" s="251">
        <f t="shared" si="25"/>
        <v>0</v>
      </c>
      <c r="Z20" s="252">
        <f t="shared" si="26"/>
        <v>0</v>
      </c>
      <c r="AA20" s="251">
        <f t="shared" si="27"/>
        <v>0</v>
      </c>
      <c r="AB20" s="253">
        <f t="shared" si="27"/>
        <v>0</v>
      </c>
      <c r="AC20" s="1140" t="str">
        <f t="shared" si="29"/>
        <v/>
      </c>
    </row>
    <row r="21" spans="1:29" s="6" customFormat="1" ht="18.75" customHeight="1" thickBot="1" x14ac:dyDescent="0.3">
      <c r="A21" s="216"/>
      <c r="B21" s="246">
        <f>+'Ration Milch'!C25</f>
        <v>27</v>
      </c>
      <c r="C21" s="380">
        <f t="shared" si="6"/>
        <v>0</v>
      </c>
      <c r="D21" s="381" t="str">
        <f t="shared" si="7"/>
        <v/>
      </c>
      <c r="E21" s="382">
        <f t="shared" si="8"/>
        <v>0</v>
      </c>
      <c r="F21" s="383">
        <f t="shared" si="9"/>
        <v>0</v>
      </c>
      <c r="G21" s="383">
        <f t="shared" si="10"/>
        <v>0</v>
      </c>
      <c r="H21" s="383">
        <f t="shared" si="11"/>
        <v>0</v>
      </c>
      <c r="I21" s="383">
        <f t="shared" si="12"/>
        <v>0</v>
      </c>
      <c r="J21" s="384">
        <f t="shared" si="13"/>
        <v>0</v>
      </c>
      <c r="K21" s="385">
        <f t="shared" si="14"/>
        <v>0</v>
      </c>
      <c r="L21" s="386">
        <f t="shared" si="15"/>
        <v>0</v>
      </c>
      <c r="M21" s="386">
        <f t="shared" si="16"/>
        <v>0</v>
      </c>
      <c r="N21" s="387">
        <f t="shared" si="17"/>
        <v>0</v>
      </c>
      <c r="O21" s="388">
        <f t="shared" si="18"/>
        <v>0</v>
      </c>
      <c r="P21" s="389">
        <f>'Ration Milch'!U25</f>
        <v>0</v>
      </c>
      <c r="Q21" s="390">
        <f>'Ration Milch'!V25</f>
        <v>0</v>
      </c>
      <c r="R21" s="377">
        <f t="shared" si="19"/>
        <v>0</v>
      </c>
      <c r="S21" s="391">
        <f t="shared" si="20"/>
        <v>0</v>
      </c>
      <c r="T21" s="391">
        <f t="shared" si="21"/>
        <v>0</v>
      </c>
      <c r="U21" s="391">
        <f t="shared" si="22"/>
        <v>0</v>
      </c>
      <c r="V21" s="391">
        <f t="shared" si="28"/>
        <v>0</v>
      </c>
      <c r="W21" s="392">
        <f t="shared" si="23"/>
        <v>0</v>
      </c>
      <c r="X21" s="254">
        <f t="shared" si="24"/>
        <v>0</v>
      </c>
      <c r="Y21" s="254">
        <f t="shared" si="25"/>
        <v>0</v>
      </c>
      <c r="Z21" s="255">
        <f t="shared" si="26"/>
        <v>0</v>
      </c>
      <c r="AA21" s="254">
        <f t="shared" si="27"/>
        <v>0</v>
      </c>
      <c r="AB21" s="256">
        <f t="shared" si="27"/>
        <v>0</v>
      </c>
      <c r="AC21" s="1140" t="str">
        <f t="shared" si="29"/>
        <v/>
      </c>
    </row>
    <row r="22" spans="1:29" s="6" customFormat="1" ht="18.75" customHeight="1" thickBot="1" x14ac:dyDescent="0.3">
      <c r="A22" s="216"/>
      <c r="B22" s="175"/>
      <c r="C22" s="154"/>
      <c r="D22" s="393"/>
      <c r="E22" s="394"/>
      <c r="F22" s="394"/>
      <c r="G22" s="394"/>
      <c r="H22" s="1494" t="s">
        <v>32</v>
      </c>
      <c r="I22" s="1495"/>
      <c r="J22" s="1496"/>
      <c r="K22" s="395"/>
      <c r="L22" s="395"/>
      <c r="M22" s="395"/>
      <c r="N22" s="45"/>
      <c r="O22" s="47"/>
      <c r="P22" s="1277">
        <f>'Ration Milch'!U26</f>
        <v>0</v>
      </c>
      <c r="Q22" s="1278">
        <f>'Ration Milch'!V26</f>
        <v>0</v>
      </c>
      <c r="R22" s="396">
        <f t="shared" ref="R22:Z22" si="30">SUM(R16:R21)</f>
        <v>0</v>
      </c>
      <c r="S22" s="397">
        <f t="shared" si="30"/>
        <v>0</v>
      </c>
      <c r="T22" s="397">
        <f t="shared" si="30"/>
        <v>0</v>
      </c>
      <c r="U22" s="397">
        <f t="shared" si="30"/>
        <v>0</v>
      </c>
      <c r="V22" s="397">
        <f t="shared" ref="V22" si="31">SUM(V16:V21)</f>
        <v>0</v>
      </c>
      <c r="W22" s="398">
        <f t="shared" si="30"/>
        <v>0</v>
      </c>
      <c r="X22" s="257">
        <f t="shared" si="30"/>
        <v>0</v>
      </c>
      <c r="Y22" s="257">
        <f t="shared" si="30"/>
        <v>0</v>
      </c>
      <c r="Z22" s="258">
        <f t="shared" si="30"/>
        <v>0</v>
      </c>
      <c r="AA22" s="257">
        <f>IF( OR(AA16="k.A.",AA17="k.A.",AA18="k.A.",AA19="k.A.",AA20="k.A.",AA21="k.A."),"k.A.",SUM(AA16:AA21))</f>
        <v>0</v>
      </c>
      <c r="AB22" s="259">
        <f>IF( OR(AB16="k.A.",AB17="k.A.",AB18="k.A.",AB19="k.A.",AB20="k.A.",AB21="k.A."),"k.A.",SUM(AB16:AB21))</f>
        <v>0</v>
      </c>
      <c r="AC22" s="250"/>
    </row>
    <row r="23" spans="1:29" s="6" customFormat="1" ht="18.75" customHeight="1" thickBot="1" x14ac:dyDescent="0.3">
      <c r="A23" s="216"/>
      <c r="B23" s="175"/>
      <c r="C23" s="154"/>
      <c r="D23" s="393"/>
      <c r="E23" s="394"/>
      <c r="F23" s="394"/>
      <c r="G23" s="394"/>
      <c r="H23" s="394"/>
      <c r="I23" s="394"/>
      <c r="J23" s="394"/>
      <c r="K23" s="394"/>
      <c r="L23" s="394"/>
      <c r="M23" s="394"/>
      <c r="N23" s="394"/>
      <c r="O23" s="394"/>
      <c r="P23" s="394"/>
      <c r="Q23" s="311" t="s">
        <v>167</v>
      </c>
      <c r="R23" s="433" t="str">
        <f t="shared" ref="R23:W23" si="32">IF($Q$22&gt;0,R22/$Q$22,"")</f>
        <v/>
      </c>
      <c r="S23" s="434" t="str">
        <f t="shared" si="32"/>
        <v/>
      </c>
      <c r="T23" s="434" t="str">
        <f t="shared" si="32"/>
        <v/>
      </c>
      <c r="U23" s="434" t="str">
        <f t="shared" si="32"/>
        <v/>
      </c>
      <c r="V23" s="434" t="str">
        <f t="shared" si="32"/>
        <v/>
      </c>
      <c r="W23" s="435" t="str">
        <f t="shared" si="32"/>
        <v/>
      </c>
      <c r="X23" s="1189"/>
      <c r="Y23" s="1189"/>
      <c r="Z23" s="1190"/>
      <c r="AA23" s="1189"/>
      <c r="AB23" s="1189"/>
      <c r="AC23" s="250"/>
    </row>
    <row r="24" spans="1:29" s="6" customFormat="1" ht="18.75" customHeight="1" thickBot="1" x14ac:dyDescent="0.3">
      <c r="A24" s="216"/>
      <c r="B24" s="5"/>
      <c r="C24" s="399" t="s">
        <v>169</v>
      </c>
      <c r="D24" s="393"/>
      <c r="E24" s="394"/>
      <c r="F24" s="394"/>
      <c r="G24" s="394"/>
      <c r="H24" s="400"/>
      <c r="I24" s="400"/>
      <c r="J24" s="400"/>
      <c r="K24" s="394"/>
      <c r="L24" s="401"/>
      <c r="M24" s="401"/>
      <c r="N24" s="154"/>
      <c r="O24" s="154"/>
      <c r="P24" s="402"/>
      <c r="Q24" s="402"/>
      <c r="R24" s="403">
        <f>IF(R9=0,0,(R22-R8)/R9)</f>
        <v>0</v>
      </c>
      <c r="S24" s="404">
        <f>IF(S9=0,0,(S22-S8)/S9)</f>
        <v>0</v>
      </c>
      <c r="T24" s="405">
        <f>IF(T9=0,0,(T22-T8)/T9)</f>
        <v>0</v>
      </c>
      <c r="U24" s="406">
        <f>IF(U9=0,0,(U22-U8)/U9)</f>
        <v>0</v>
      </c>
      <c r="V24" s="1123"/>
      <c r="W24" s="154" t="s">
        <v>33</v>
      </c>
      <c r="X24" s="260" t="str">
        <f>IF(S22=0,"",+X22/$Q22*0.001)</f>
        <v/>
      </c>
      <c r="Y24" s="260" t="str">
        <f>IF(T22=0,"",+Y22/$Q22*0.001)</f>
        <v/>
      </c>
      <c r="Z24" s="260" t="str">
        <f>IF(Q22=0,"",SUM(Z16:Z21)/Q22)</f>
        <v/>
      </c>
      <c r="AA24" s="260" t="str">
        <f>IF(OR(AA22="k.A.",Q22=0),"",+AA22/$Q22*0.001)</f>
        <v/>
      </c>
      <c r="AB24" s="260" t="str">
        <f>IF(OR(AB22="k.A.",Q22=0),"",+AB22/$Q22*0.001)</f>
        <v/>
      </c>
      <c r="AC24" s="261"/>
    </row>
    <row r="25" spans="1:29" s="6" customFormat="1" ht="4.5" customHeight="1" thickBot="1" x14ac:dyDescent="0.3">
      <c r="A25" s="216"/>
      <c r="B25" s="5"/>
      <c r="C25" s="407"/>
      <c r="D25" s="393"/>
      <c r="E25" s="394"/>
      <c r="F25" s="394"/>
      <c r="G25" s="394"/>
      <c r="H25" s="400"/>
      <c r="I25" s="400"/>
      <c r="J25" s="400"/>
      <c r="K25" s="394"/>
      <c r="L25" s="401"/>
      <c r="M25" s="401"/>
      <c r="N25" s="154"/>
      <c r="O25" s="154"/>
      <c r="P25" s="402"/>
      <c r="Q25" s="402"/>
      <c r="R25" s="156"/>
      <c r="S25" s="156"/>
      <c r="T25" s="154"/>
      <c r="U25" s="408"/>
      <c r="V25" s="408"/>
      <c r="W25" s="408"/>
      <c r="X25" s="5"/>
      <c r="Y25" s="5"/>
      <c r="Z25" s="5"/>
      <c r="AA25" s="5"/>
      <c r="AB25" s="5"/>
      <c r="AC25" s="176"/>
    </row>
    <row r="26" spans="1:29" s="6" customFormat="1" ht="18.75" customHeight="1" thickBot="1" x14ac:dyDescent="0.3">
      <c r="A26" s="216"/>
      <c r="B26" s="246">
        <f>+'Ration Milch'!C29</f>
        <v>174</v>
      </c>
      <c r="C26" s="354">
        <f>INDEX(Tabelle,$B26,1)</f>
        <v>0</v>
      </c>
      <c r="D26" s="355" t="str">
        <f>IF(INDEX(Tabelle,$B26,2)="","",INDEX(Tabelle,$B26,2)/10)</f>
        <v/>
      </c>
      <c r="E26" s="356">
        <f>ROUND(INDEX(Tabelle,$B26,19),1)</f>
        <v>0</v>
      </c>
      <c r="F26" s="357">
        <f>ROUND(INDEX(Tabelle,$B26,20),1)</f>
        <v>0</v>
      </c>
      <c r="G26" s="357">
        <f>ROUND(INDEX(Tabelle,$B26,21),1)</f>
        <v>0</v>
      </c>
      <c r="H26" s="357">
        <f>ROUND(INDEX(Tabelle,$B26,22),1)</f>
        <v>0</v>
      </c>
      <c r="I26" s="357">
        <f>ROUND(INDEX(Tabelle,$B26,23),1)</f>
        <v>0</v>
      </c>
      <c r="J26" s="358">
        <f>ROUND(INDEX(Tabelle,$B26,24),1)</f>
        <v>0</v>
      </c>
      <c r="K26" s="359">
        <f>INDEX(Tabelle,$B26,10)</f>
        <v>0</v>
      </c>
      <c r="L26" s="357">
        <f>INDEX(Tabelle,$B26,11)</f>
        <v>0</v>
      </c>
      <c r="M26" s="357">
        <f>INDEX(Tabelle,$B26,12)</f>
        <v>0</v>
      </c>
      <c r="N26" s="360">
        <f>INDEX(Tabelle,$B26,13)</f>
        <v>0</v>
      </c>
      <c r="O26" s="361">
        <f>INDEX(Tabelle,$B26,14)</f>
        <v>0</v>
      </c>
      <c r="P26" s="362">
        <f>'Ration Milch'!U29</f>
        <v>0</v>
      </c>
      <c r="Q26" s="363">
        <f>'Ration Milch'!V29</f>
        <v>0</v>
      </c>
      <c r="R26" s="409">
        <f>Q26*E26</f>
        <v>0</v>
      </c>
      <c r="S26" s="365">
        <f>Q26*F26</f>
        <v>0</v>
      </c>
      <c r="T26" s="365">
        <f>Q26*G26</f>
        <v>0</v>
      </c>
      <c r="U26" s="365">
        <f>+Q26*H26</f>
        <v>0</v>
      </c>
      <c r="V26" s="365">
        <f t="shared" ref="V26:V29" si="33">+Q26*I26</f>
        <v>0</v>
      </c>
      <c r="W26" s="366">
        <f>+Q26*J26</f>
        <v>0</v>
      </c>
      <c r="X26" s="262">
        <f>Q26*K26</f>
        <v>0</v>
      </c>
      <c r="Y26" s="247">
        <f>+K26*L26*Q26</f>
        <v>0</v>
      </c>
      <c r="Z26" s="248">
        <f>+Q26*M26</f>
        <v>0</v>
      </c>
      <c r="AA26" s="247">
        <f>IF(N26="-","k.A.",N26*$Q26)</f>
        <v>0</v>
      </c>
      <c r="AB26" s="249">
        <f>IF(O26="-","k.A.",O26*$Q26)</f>
        <v>0</v>
      </c>
      <c r="AC26" s="1140" t="str">
        <f>IF(Q26=0,"",IF(COUNTIF(C26:J26,0)&gt;0,"?",""))</f>
        <v/>
      </c>
    </row>
    <row r="27" spans="1:29" s="6" customFormat="1" ht="18.75" customHeight="1" thickBot="1" x14ac:dyDescent="0.3">
      <c r="A27" s="216"/>
      <c r="B27" s="246">
        <f>+'Ration Milch'!C30</f>
        <v>174</v>
      </c>
      <c r="C27" s="367">
        <f>INDEX(Tabelle,$B27,1)</f>
        <v>0</v>
      </c>
      <c r="D27" s="368" t="str">
        <f>IF(INDEX(Tabelle,$B27,2)="","",INDEX(Tabelle,$B27,2)/10)</f>
        <v/>
      </c>
      <c r="E27" s="369">
        <f>ROUND(INDEX(Tabelle,$B27,19),1)</f>
        <v>0</v>
      </c>
      <c r="F27" s="370">
        <f>ROUND(INDEX(Tabelle,$B27,20),1)</f>
        <v>0</v>
      </c>
      <c r="G27" s="370">
        <f>ROUND(INDEX(Tabelle,$B27,21),1)</f>
        <v>0</v>
      </c>
      <c r="H27" s="370">
        <f>ROUND(INDEX(Tabelle,$B27,22),1)</f>
        <v>0</v>
      </c>
      <c r="I27" s="370">
        <f>ROUND(INDEX(Tabelle,$B27,23),1)</f>
        <v>0</v>
      </c>
      <c r="J27" s="371">
        <f>ROUND(INDEX(Tabelle,$B27,24),1)</f>
        <v>0</v>
      </c>
      <c r="K27" s="372">
        <f>INDEX(Tabelle,$B27,10)</f>
        <v>0</v>
      </c>
      <c r="L27" s="370">
        <f>INDEX(Tabelle,$B27,11)</f>
        <v>0</v>
      </c>
      <c r="M27" s="370">
        <f>INDEX(Tabelle,$B27,12)</f>
        <v>0</v>
      </c>
      <c r="N27" s="373">
        <f>INDEX(Tabelle,$B27,13)</f>
        <v>0</v>
      </c>
      <c r="O27" s="374">
        <f>INDEX(Tabelle,$B27,14)</f>
        <v>0</v>
      </c>
      <c r="P27" s="375">
        <f>'Ration Milch'!U30</f>
        <v>0</v>
      </c>
      <c r="Q27" s="376">
        <f>'Ration Milch'!V30</f>
        <v>0</v>
      </c>
      <c r="R27" s="410">
        <f>Q27*E27</f>
        <v>0</v>
      </c>
      <c r="S27" s="378">
        <f>Q27*F27</f>
        <v>0</v>
      </c>
      <c r="T27" s="378">
        <f>Q27*G27</f>
        <v>0</v>
      </c>
      <c r="U27" s="378">
        <f>+Q27*H27</f>
        <v>0</v>
      </c>
      <c r="V27" s="378">
        <f t="shared" si="33"/>
        <v>0</v>
      </c>
      <c r="W27" s="379">
        <f>+Q27*J27</f>
        <v>0</v>
      </c>
      <c r="X27" s="263"/>
      <c r="Y27" s="264"/>
      <c r="Z27" s="265"/>
      <c r="AA27" s="264"/>
      <c r="AB27" s="266"/>
      <c r="AC27" s="1140" t="str">
        <f t="shared" ref="AC27:AC29" si="34">IF(Q27=0,"",IF(COUNTIF(C27:J27,0)&gt;0,"?",""))</f>
        <v/>
      </c>
    </row>
    <row r="28" spans="1:29" s="6" customFormat="1" ht="18.75" customHeight="1" thickBot="1" x14ac:dyDescent="0.3">
      <c r="A28" s="216"/>
      <c r="B28" s="246">
        <f>+'Ration Milch'!C31</f>
        <v>47</v>
      </c>
      <c r="C28" s="367">
        <f>INDEX(Tabelle,$B28,1)</f>
        <v>0</v>
      </c>
      <c r="D28" s="368" t="str">
        <f>IF(INDEX(Tabelle,$B28,2)="","",INDEX(Tabelle,$B28,2)/10)</f>
        <v/>
      </c>
      <c r="E28" s="369">
        <f>ROUND(INDEX(Tabelle,$B28,19),1)</f>
        <v>0</v>
      </c>
      <c r="F28" s="370">
        <f>ROUND(INDEX(Tabelle,$B28,20),1)</f>
        <v>0</v>
      </c>
      <c r="G28" s="370">
        <f>ROUND(INDEX(Tabelle,$B28,21),1)</f>
        <v>0</v>
      </c>
      <c r="H28" s="370">
        <f>ROUND(INDEX(Tabelle,$B28,22),1)</f>
        <v>0</v>
      </c>
      <c r="I28" s="370">
        <f>ROUND(INDEX(Tabelle,$B28,23),1)</f>
        <v>0</v>
      </c>
      <c r="J28" s="371">
        <f>ROUND(INDEX(Tabelle,$B28,24),1)</f>
        <v>0</v>
      </c>
      <c r="K28" s="372">
        <f>INDEX(Tabelle,$B28,10)</f>
        <v>0</v>
      </c>
      <c r="L28" s="370">
        <f>INDEX(Tabelle,$B28,11)</f>
        <v>0</v>
      </c>
      <c r="M28" s="370">
        <f>INDEX(Tabelle,$B28,12)</f>
        <v>0</v>
      </c>
      <c r="N28" s="373">
        <f>INDEX(Tabelle,$B28,13)</f>
        <v>0</v>
      </c>
      <c r="O28" s="374">
        <f>INDEX(Tabelle,$B28,14)</f>
        <v>0</v>
      </c>
      <c r="P28" s="375">
        <f>'Ration Milch'!U31</f>
        <v>0</v>
      </c>
      <c r="Q28" s="376">
        <f>'Ration Milch'!V31</f>
        <v>0</v>
      </c>
      <c r="R28" s="410">
        <f>Q28*E28</f>
        <v>0</v>
      </c>
      <c r="S28" s="378">
        <f>Q28*F28</f>
        <v>0</v>
      </c>
      <c r="T28" s="378">
        <f>Q28*G28</f>
        <v>0</v>
      </c>
      <c r="U28" s="378">
        <f>+Q28*H28</f>
        <v>0</v>
      </c>
      <c r="V28" s="378">
        <f t="shared" si="33"/>
        <v>0</v>
      </c>
      <c r="W28" s="379">
        <f>+Q28*J28</f>
        <v>0</v>
      </c>
      <c r="X28" s="267">
        <f>Q28*K28</f>
        <v>0</v>
      </c>
      <c r="Y28" s="251">
        <f>+K28*L28*Q28</f>
        <v>0</v>
      </c>
      <c r="Z28" s="252">
        <f>+Q28*M28</f>
        <v>0</v>
      </c>
      <c r="AA28" s="251">
        <f>IF(N28="-","k.A.",N28*$Q28)</f>
        <v>0</v>
      </c>
      <c r="AB28" s="253">
        <f>IF(O28="-","k.A.",O28*$Q28)</f>
        <v>0</v>
      </c>
      <c r="AC28" s="1140" t="str">
        <f t="shared" si="34"/>
        <v/>
      </c>
    </row>
    <row r="29" spans="1:29" s="6" customFormat="1" ht="18.75" customHeight="1" thickBot="1" x14ac:dyDescent="0.3">
      <c r="A29" s="216"/>
      <c r="B29" s="246">
        <f>+'Ration Milch'!C32</f>
        <v>191</v>
      </c>
      <c r="C29" s="380">
        <f>INDEX(Tabelle,$B29,1)</f>
        <v>0</v>
      </c>
      <c r="D29" s="381" t="str">
        <f>IF(INDEX(Tabelle,$B29,2)="","",INDEX(Tabelle,$B29,2)/10)</f>
        <v/>
      </c>
      <c r="E29" s="411">
        <f>ROUND(INDEX(Tabelle,$B29,19),1)</f>
        <v>0</v>
      </c>
      <c r="F29" s="386">
        <f>ROUND(INDEX(Tabelle,$B29,20),1)</f>
        <v>0</v>
      </c>
      <c r="G29" s="386">
        <f>ROUND(INDEX(Tabelle,$B29,21),1)</f>
        <v>0</v>
      </c>
      <c r="H29" s="386">
        <f>ROUND(INDEX(Tabelle,$B29,22),1)</f>
        <v>0</v>
      </c>
      <c r="I29" s="386">
        <f>ROUND(INDEX(Tabelle,$B29,23),1)</f>
        <v>0</v>
      </c>
      <c r="J29" s="412">
        <f>ROUND(INDEX(Tabelle,$B29,24),1)</f>
        <v>0</v>
      </c>
      <c r="K29" s="385">
        <f>INDEX(Tabelle,$B29,10)</f>
        <v>0</v>
      </c>
      <c r="L29" s="386">
        <f>INDEX(Tabelle,$B29,11)</f>
        <v>0</v>
      </c>
      <c r="M29" s="386">
        <f>INDEX(Tabelle,$B29,12)</f>
        <v>0</v>
      </c>
      <c r="N29" s="387">
        <f>INDEX(Tabelle,$B29,13)</f>
        <v>0</v>
      </c>
      <c r="O29" s="374">
        <f>INDEX(Tabelle,$B29,14)</f>
        <v>0</v>
      </c>
      <c r="P29" s="389">
        <f>'Ration Milch'!U32</f>
        <v>0</v>
      </c>
      <c r="Q29" s="390">
        <f>'Ration Milch'!V32</f>
        <v>0</v>
      </c>
      <c r="R29" s="410">
        <f>Q29*E29</f>
        <v>0</v>
      </c>
      <c r="S29" s="391">
        <f>Q29*F29</f>
        <v>0</v>
      </c>
      <c r="T29" s="391">
        <f>Q29*G29</f>
        <v>0</v>
      </c>
      <c r="U29" s="391">
        <f>+Q29*H29</f>
        <v>0</v>
      </c>
      <c r="V29" s="391">
        <f t="shared" si="33"/>
        <v>0</v>
      </c>
      <c r="W29" s="392">
        <f>+Q29*J29</f>
        <v>0</v>
      </c>
      <c r="X29" s="268">
        <f>Q29*K29</f>
        <v>0</v>
      </c>
      <c r="Y29" s="254">
        <f>+K29*L29*Q29</f>
        <v>0</v>
      </c>
      <c r="Z29" s="255">
        <f>+Q29*M29</f>
        <v>0</v>
      </c>
      <c r="AA29" s="254">
        <f>IF(N29="-","k.A.",N29*$Q29)</f>
        <v>0</v>
      </c>
      <c r="AB29" s="256">
        <f>IF(O29="-","k.A.",O29*$Q29)</f>
        <v>0</v>
      </c>
      <c r="AC29" s="1140" t="str">
        <f t="shared" si="34"/>
        <v/>
      </c>
    </row>
    <row r="30" spans="1:29" s="6" customFormat="1" ht="18.75" customHeight="1" thickBot="1" x14ac:dyDescent="0.3">
      <c r="A30" s="216"/>
      <c r="B30" s="175"/>
      <c r="C30" s="154"/>
      <c r="D30" s="394"/>
      <c r="E30" s="394"/>
      <c r="F30" s="394"/>
      <c r="G30" s="394"/>
      <c r="H30" s="1494" t="s">
        <v>32</v>
      </c>
      <c r="I30" s="1495"/>
      <c r="J30" s="1496"/>
      <c r="K30" s="395"/>
      <c r="L30" s="395"/>
      <c r="M30" s="395"/>
      <c r="N30" s="45"/>
      <c r="O30" s="47"/>
      <c r="P30" s="1275">
        <f>'Ration Milch'!U33</f>
        <v>0</v>
      </c>
      <c r="Q30" s="1276">
        <f>'Ration Milch'!V33</f>
        <v>0</v>
      </c>
      <c r="R30" s="413">
        <f t="shared" ref="R30:W30" si="35">SUM(R26:R29)+R22</f>
        <v>0</v>
      </c>
      <c r="S30" s="396">
        <f t="shared" si="35"/>
        <v>0</v>
      </c>
      <c r="T30" s="396">
        <f t="shared" si="35"/>
        <v>0</v>
      </c>
      <c r="U30" s="396">
        <f t="shared" si="35"/>
        <v>0</v>
      </c>
      <c r="V30" s="396">
        <f t="shared" si="35"/>
        <v>0</v>
      </c>
      <c r="W30" s="414">
        <f t="shared" si="35"/>
        <v>0</v>
      </c>
      <c r="X30" s="269">
        <f>X22+X26+X28+X29</f>
        <v>0</v>
      </c>
      <c r="Y30" s="257">
        <f>Y22+Y26+Y28+Y29</f>
        <v>0</v>
      </c>
      <c r="Z30" s="258">
        <f>Z22+Z26+Z28+Z29</f>
        <v>0</v>
      </c>
      <c r="AA30" s="257">
        <f>IF( OR(AA22="k.A.",AA26="k.A.",AA28="k.A.",AA29="k.A."),"k.A.",SUM(AA22,AA26:AA29))</f>
        <v>0</v>
      </c>
      <c r="AB30" s="259">
        <f>IF( OR(AB22="k.A.",AB26="k.A.",AB28="k.A.",AB29="k.A."),"k.A.",SUM(AB22,AB26:AB29))</f>
        <v>0</v>
      </c>
      <c r="AC30" s="250"/>
    </row>
    <row r="31" spans="1:29" s="6" customFormat="1" ht="18.75" customHeight="1" thickBot="1" x14ac:dyDescent="0.3">
      <c r="A31" s="216"/>
      <c r="B31" s="175"/>
      <c r="C31" s="154"/>
      <c r="D31" s="394"/>
      <c r="E31" s="394"/>
      <c r="F31" s="394"/>
      <c r="G31" s="394"/>
      <c r="H31" s="394"/>
      <c r="I31" s="394"/>
      <c r="J31" s="394"/>
      <c r="K31" s="394"/>
      <c r="L31" s="394"/>
      <c r="M31" s="394"/>
      <c r="N31" s="394"/>
      <c r="O31" s="394"/>
      <c r="P31" s="394"/>
      <c r="Q31" s="311" t="s">
        <v>167</v>
      </c>
      <c r="R31" s="433" t="str">
        <f t="shared" ref="R31:W31" si="36">IF($Q$30&gt;0,R30/$Q$30,"")</f>
        <v/>
      </c>
      <c r="S31" s="434" t="str">
        <f t="shared" si="36"/>
        <v/>
      </c>
      <c r="T31" s="434" t="str">
        <f t="shared" si="36"/>
        <v/>
      </c>
      <c r="U31" s="434" t="str">
        <f t="shared" si="36"/>
        <v/>
      </c>
      <c r="V31" s="434" t="str">
        <f t="shared" si="36"/>
        <v/>
      </c>
      <c r="W31" s="435" t="str">
        <f t="shared" si="36"/>
        <v/>
      </c>
      <c r="X31" s="1189"/>
      <c r="Y31" s="1189"/>
      <c r="Z31" s="1190"/>
      <c r="AA31" s="1189"/>
      <c r="AB31" s="1189"/>
      <c r="AC31" s="250"/>
    </row>
    <row r="32" spans="1:29" s="6" customFormat="1" ht="18.75" customHeight="1" thickBot="1" x14ac:dyDescent="0.3">
      <c r="A32" s="216"/>
      <c r="B32" s="5"/>
      <c r="C32" s="399" t="s">
        <v>34</v>
      </c>
      <c r="D32" s="415"/>
      <c r="E32" s="415"/>
      <c r="F32" s="394"/>
      <c r="G32" s="394"/>
      <c r="H32" s="400"/>
      <c r="I32" s="400"/>
      <c r="J32" s="400"/>
      <c r="K32" s="394"/>
      <c r="L32" s="401"/>
      <c r="M32" s="401"/>
      <c r="N32" s="154"/>
      <c r="O32" s="154"/>
      <c r="P32" s="416"/>
      <c r="Q32" s="416"/>
      <c r="R32" s="403">
        <f>IF(R$9=0,0,(R30-R$8)/R$9)</f>
        <v>0</v>
      </c>
      <c r="S32" s="404">
        <f>IF(S$9=0,0,(S30-S$8)/S$9)</f>
        <v>0</v>
      </c>
      <c r="T32" s="405">
        <f>IF(T$9=0,0,(T30-T$8)/T$9)</f>
        <v>0</v>
      </c>
      <c r="U32" s="406">
        <f>IF(U$9=0,0,(U30-U$8)/U$9)</f>
        <v>0</v>
      </c>
      <c r="V32" s="1123"/>
      <c r="W32" s="154" t="s">
        <v>33</v>
      </c>
      <c r="X32" s="260" t="str">
        <f>+IF(S30=0,"",X30/$Q30*0.001)</f>
        <v/>
      </c>
      <c r="Y32" s="260" t="str">
        <f>+IF(T30=0,"",Y30/$Q30*0.001)</f>
        <v/>
      </c>
      <c r="Z32" s="260" t="str">
        <f>IF(Q30=0,"",SUM(Z22:Z29)/Q30)</f>
        <v/>
      </c>
      <c r="AA32" s="260" t="str">
        <f>IF(OR(AA30="k.A.",Q30=0),"",+AA30/$Q30*0.001)</f>
        <v/>
      </c>
      <c r="AB32" s="260" t="str">
        <f>IF(OR(AB30="k.A.",Q30=0),"",+AB30/$Q30*0.001)</f>
        <v/>
      </c>
      <c r="AC32" s="261"/>
    </row>
    <row r="33" spans="1:32" s="6" customFormat="1" ht="4.5" customHeight="1" thickBot="1" x14ac:dyDescent="0.3">
      <c r="A33" s="216"/>
      <c r="B33" s="5"/>
      <c r="C33" s="407"/>
      <c r="D33" s="394"/>
      <c r="E33" s="394"/>
      <c r="F33" s="394"/>
      <c r="G33" s="394"/>
      <c r="H33" s="400"/>
      <c r="I33" s="400"/>
      <c r="J33" s="400"/>
      <c r="K33" s="394"/>
      <c r="L33" s="401"/>
      <c r="M33" s="401"/>
      <c r="N33" s="154"/>
      <c r="O33" s="154"/>
      <c r="P33" s="416"/>
      <c r="Q33" s="416"/>
      <c r="R33" s="156"/>
      <c r="S33" s="156"/>
      <c r="T33" s="154"/>
      <c r="U33" s="408"/>
      <c r="V33" s="408"/>
      <c r="W33" s="408"/>
      <c r="X33" s="5"/>
      <c r="Y33" s="5"/>
      <c r="Z33" s="5"/>
      <c r="AA33" s="5"/>
      <c r="AB33" s="5"/>
      <c r="AC33" s="176"/>
    </row>
    <row r="34" spans="1:32" s="6" customFormat="1" ht="18.75" customHeight="1" thickBot="1" x14ac:dyDescent="0.3">
      <c r="A34" s="216"/>
      <c r="B34" s="246">
        <f>+'Ration Milch'!C37</f>
        <v>174</v>
      </c>
      <c r="C34" s="354">
        <f>INDEX(Tabelle,$B34,1)</f>
        <v>0</v>
      </c>
      <c r="D34" s="355" t="str">
        <f>IF(INDEX(Tabelle,$B34,2)="","",INDEX(Tabelle,$B34,2)/10)</f>
        <v/>
      </c>
      <c r="E34" s="356">
        <f>ROUND(INDEX(Tabelle,$B34,19),1)</f>
        <v>0</v>
      </c>
      <c r="F34" s="357">
        <f>ROUND(INDEX(Tabelle,$B34,20),1)</f>
        <v>0</v>
      </c>
      <c r="G34" s="357">
        <f>ROUND(INDEX(Tabelle,$B34,21),1)</f>
        <v>0</v>
      </c>
      <c r="H34" s="357">
        <f>ROUND(INDEX(Tabelle,$B34,22),1)</f>
        <v>0</v>
      </c>
      <c r="I34" s="357">
        <f>ROUND(INDEX(Tabelle,$B34,23),1)</f>
        <v>0</v>
      </c>
      <c r="J34" s="358">
        <f>ROUND(INDEX(Tabelle,$B34,24),1)</f>
        <v>0</v>
      </c>
      <c r="K34" s="359">
        <f>INDEX(Tabelle,$B34,10)</f>
        <v>0</v>
      </c>
      <c r="L34" s="357">
        <f>INDEX(Tabelle,$B34,11)</f>
        <v>0</v>
      </c>
      <c r="M34" s="357">
        <f>INDEX(Tabelle,$B34,12)</f>
        <v>0</v>
      </c>
      <c r="N34" s="360">
        <f>INDEX(Tabelle,$B34,13)</f>
        <v>0</v>
      </c>
      <c r="O34" s="361">
        <f>INDEX(Tabelle,$B34,14)</f>
        <v>0</v>
      </c>
      <c r="P34" s="417">
        <f>'Ration Milch'!U37</f>
        <v>0</v>
      </c>
      <c r="Q34" s="363">
        <f>'Ration Milch'!V37</f>
        <v>0</v>
      </c>
      <c r="R34" s="364">
        <f>Q34*E34</f>
        <v>0</v>
      </c>
      <c r="S34" s="365">
        <f>Q34*F34</f>
        <v>0</v>
      </c>
      <c r="T34" s="365">
        <f>Q34*G34</f>
        <v>0</v>
      </c>
      <c r="U34" s="365">
        <f>+Q34*H34</f>
        <v>0</v>
      </c>
      <c r="V34" s="1122">
        <f t="shared" ref="V34:V35" si="37">+Q34*I34</f>
        <v>0</v>
      </c>
      <c r="W34" s="366">
        <f>+Q34*J34</f>
        <v>0</v>
      </c>
      <c r="X34" s="247">
        <f>Q34*K34</f>
        <v>0</v>
      </c>
      <c r="Y34" s="247">
        <f>+K34*L34*Q34</f>
        <v>0</v>
      </c>
      <c r="Z34" s="248">
        <f>+Q34*M34</f>
        <v>0</v>
      </c>
      <c r="AA34" s="247">
        <f>IF(N34="-","k.A.",N34*$Q34)</f>
        <v>0</v>
      </c>
      <c r="AB34" s="249">
        <f>IF(O34="-","k.A.",O34*$Q34)</f>
        <v>0</v>
      </c>
      <c r="AC34" s="1140" t="str">
        <f>IF(Q34=0,"",IF(COUNTIF(C34:J34,0)&gt;0,"?",""))</f>
        <v/>
      </c>
    </row>
    <row r="35" spans="1:32" s="6" customFormat="1" ht="18.75" customHeight="1" thickBot="1" x14ac:dyDescent="0.3">
      <c r="A35" s="216"/>
      <c r="B35" s="246">
        <f>+'Ration Milch'!C38</f>
        <v>191</v>
      </c>
      <c r="C35" s="380">
        <f>INDEX(Tabelle,$B35,1)</f>
        <v>0</v>
      </c>
      <c r="D35" s="381" t="str">
        <f>IF(INDEX(Tabelle,$B35,2)="","",INDEX(Tabelle,$B35,2)/10)</f>
        <v/>
      </c>
      <c r="E35" s="411">
        <f>ROUND(INDEX(Tabelle,$B35,19),1)</f>
        <v>0</v>
      </c>
      <c r="F35" s="386">
        <f>ROUND(INDEX(Tabelle,$B35,20),1)</f>
        <v>0</v>
      </c>
      <c r="G35" s="386">
        <f>ROUND(INDEX(Tabelle,$B35,21),1)</f>
        <v>0</v>
      </c>
      <c r="H35" s="386">
        <f>ROUND(INDEX(Tabelle,$B35,22),1)</f>
        <v>0</v>
      </c>
      <c r="I35" s="386">
        <f>ROUND(INDEX(Tabelle,$B35,23),1)</f>
        <v>0</v>
      </c>
      <c r="J35" s="412">
        <f>ROUND(INDEX(Tabelle,$B35,24),1)</f>
        <v>0</v>
      </c>
      <c r="K35" s="385">
        <f>INDEX(Tabelle,$B35,10)</f>
        <v>0</v>
      </c>
      <c r="L35" s="386">
        <f>INDEX(Tabelle,$B35,11)</f>
        <v>0</v>
      </c>
      <c r="M35" s="386">
        <f>INDEX(Tabelle,$B35,12)</f>
        <v>0</v>
      </c>
      <c r="N35" s="387">
        <f>INDEX(Tabelle,$B35,13)</f>
        <v>0</v>
      </c>
      <c r="O35" s="374">
        <f>INDEX(Tabelle,$B35,14)</f>
        <v>0</v>
      </c>
      <c r="P35" s="418">
        <f>'Ration Milch'!U38</f>
        <v>0</v>
      </c>
      <c r="Q35" s="419">
        <f>'Ration Milch'!V38</f>
        <v>0</v>
      </c>
      <c r="R35" s="420">
        <f>Q35*E35</f>
        <v>0</v>
      </c>
      <c r="S35" s="421">
        <f>Q35*F35</f>
        <v>0</v>
      </c>
      <c r="T35" s="421">
        <f>Q35*G35</f>
        <v>0</v>
      </c>
      <c r="U35" s="421">
        <f>+Q35*H35</f>
        <v>0</v>
      </c>
      <c r="V35" s="1124">
        <f t="shared" si="37"/>
        <v>0</v>
      </c>
      <c r="W35" s="422">
        <f>+Q35*J35</f>
        <v>0</v>
      </c>
      <c r="X35" s="254">
        <f>Q35*K35</f>
        <v>0</v>
      </c>
      <c r="Y35" s="254">
        <f>+K35*L35*Q35</f>
        <v>0</v>
      </c>
      <c r="Z35" s="255">
        <f>+Q35*M35</f>
        <v>0</v>
      </c>
      <c r="AA35" s="254">
        <f>IF(N35="-","k.A.",N35*$Q35)</f>
        <v>0</v>
      </c>
      <c r="AB35" s="256">
        <f>IF(O35="-","k.A.",O35*$Q35)</f>
        <v>0</v>
      </c>
      <c r="AC35" s="1140" t="str">
        <f t="shared" ref="AC35" si="38">IF(Q35=0,"",IF(COUNTIF(C35:J35,0)&gt;0,"?",""))</f>
        <v/>
      </c>
    </row>
    <row r="36" spans="1:32" s="4" customFormat="1" ht="31.5" thickBot="1" x14ac:dyDescent="0.3">
      <c r="A36" s="216"/>
      <c r="B36" s="237"/>
      <c r="C36" s="160"/>
      <c r="D36" s="423"/>
      <c r="E36" s="161"/>
      <c r="F36" s="424"/>
      <c r="G36" s="424"/>
      <c r="H36" s="424"/>
      <c r="I36" s="424"/>
      <c r="J36" s="424"/>
      <c r="K36" s="425"/>
      <c r="L36" s="425"/>
      <c r="M36" s="425"/>
      <c r="N36" s="425"/>
      <c r="O36" s="425"/>
      <c r="P36" s="426" t="str">
        <f>'Ration Milch'!U39</f>
        <v>FM kg</v>
      </c>
      <c r="Q36" s="427" t="str">
        <f>'Ration Milch'!V39</f>
        <v>TM kg</v>
      </c>
      <c r="R36" s="428" t="s">
        <v>46</v>
      </c>
      <c r="S36" s="429" t="s">
        <v>47</v>
      </c>
      <c r="T36" s="429" t="s">
        <v>48</v>
      </c>
      <c r="U36" s="429" t="s">
        <v>49</v>
      </c>
      <c r="V36" s="429" t="s">
        <v>50</v>
      </c>
      <c r="W36" s="430" t="s">
        <v>394</v>
      </c>
      <c r="X36" s="243" t="str">
        <f>+X5&amp;"          "&amp;X6</f>
        <v>XF          g</v>
      </c>
      <c r="Y36" s="243" t="str">
        <f>+Y5&amp;"          "&amp;Y6</f>
        <v>sXF          g</v>
      </c>
      <c r="Z36" s="243" t="str">
        <f>+Z5&amp;"          "&amp;Z6</f>
        <v xml:space="preserve">SW          </v>
      </c>
      <c r="AA36" s="222"/>
      <c r="AB36" s="224"/>
      <c r="AC36" s="225"/>
    </row>
    <row r="37" spans="1:32" s="6" customFormat="1" ht="18.75" customHeight="1" thickBot="1" x14ac:dyDescent="0.3">
      <c r="A37" s="216"/>
      <c r="B37" s="175"/>
      <c r="C37" s="154"/>
      <c r="D37" s="401"/>
      <c r="E37" s="401"/>
      <c r="F37" s="401"/>
      <c r="G37" s="401"/>
      <c r="H37" s="1494" t="s">
        <v>32</v>
      </c>
      <c r="I37" s="1495"/>
      <c r="J37" s="1496"/>
      <c r="K37" s="431"/>
      <c r="L37" s="431"/>
      <c r="M37" s="431"/>
      <c r="N37" s="28"/>
      <c r="O37" s="425"/>
      <c r="P37" s="1273">
        <f>'Ration Milch'!U40</f>
        <v>0</v>
      </c>
      <c r="Q37" s="1274">
        <f>'Ration Milch'!V40</f>
        <v>0</v>
      </c>
      <c r="R37" s="1270">
        <f t="shared" ref="R37:Z37" si="39">R30+R34+R35</f>
        <v>0</v>
      </c>
      <c r="S37" s="1271">
        <f t="shared" si="39"/>
        <v>0</v>
      </c>
      <c r="T37" s="1271">
        <f t="shared" si="39"/>
        <v>0</v>
      </c>
      <c r="U37" s="1271">
        <f t="shared" si="39"/>
        <v>0</v>
      </c>
      <c r="V37" s="1271">
        <f t="shared" ref="V37" si="40">V30+V34+V35</f>
        <v>0</v>
      </c>
      <c r="W37" s="1272">
        <f t="shared" ref="W37" si="41">W30+W34+W35</f>
        <v>0</v>
      </c>
      <c r="X37" s="270">
        <f t="shared" si="39"/>
        <v>0</v>
      </c>
      <c r="Y37" s="270">
        <f t="shared" si="39"/>
        <v>0</v>
      </c>
      <c r="Z37" s="271">
        <f t="shared" si="39"/>
        <v>0</v>
      </c>
      <c r="AA37" s="270">
        <f>IF( OR(,AA30="k.A.",AA34="k.A.",AA35="k.A."),"k.A.",SUM(AA30,AA34:AA35))</f>
        <v>0</v>
      </c>
      <c r="AB37" s="272">
        <f>IF( OR(,AB30="k.A.",AB34="k.A.",AB35="k.A."),"k.A.",SUM(AB30,AB34:AB35))</f>
        <v>0</v>
      </c>
      <c r="AC37" s="250"/>
    </row>
    <row r="38" spans="1:32" s="6" customFormat="1" ht="18.75" customHeight="1" thickBot="1" x14ac:dyDescent="0.3">
      <c r="A38" s="215"/>
      <c r="B38" s="175"/>
      <c r="C38" s="154"/>
      <c r="D38" s="154"/>
      <c r="E38" s="154"/>
      <c r="F38" s="154"/>
      <c r="G38" s="154"/>
      <c r="H38" s="154"/>
      <c r="I38" s="154"/>
      <c r="J38" s="154"/>
      <c r="K38" s="154"/>
      <c r="L38" s="154"/>
      <c r="M38" s="154"/>
      <c r="N38" s="154"/>
      <c r="O38" s="432"/>
      <c r="P38" s="154"/>
      <c r="Q38" s="311" t="s">
        <v>167</v>
      </c>
      <c r="R38" s="433" t="str">
        <f t="shared" ref="R38:AB38" si="42">IF($Q$37&gt;0,R37/$Q$37,"")</f>
        <v/>
      </c>
      <c r="S38" s="434" t="str">
        <f t="shared" si="42"/>
        <v/>
      </c>
      <c r="T38" s="434" t="str">
        <f t="shared" si="42"/>
        <v/>
      </c>
      <c r="U38" s="434" t="str">
        <f t="shared" si="42"/>
        <v/>
      </c>
      <c r="V38" s="434" t="str">
        <f t="shared" ref="V38" si="43">IF($Q$37&gt;0,V37/$Q$37,"")</f>
        <v/>
      </c>
      <c r="W38" s="435" t="str">
        <f t="shared" ref="W38" si="44">IF($Q$37&gt;0,W37/$Q$37,"")</f>
        <v/>
      </c>
      <c r="X38" s="273" t="str">
        <f t="shared" si="42"/>
        <v/>
      </c>
      <c r="Y38" s="273" t="str">
        <f t="shared" si="42"/>
        <v/>
      </c>
      <c r="Z38" s="274" t="str">
        <f t="shared" si="42"/>
        <v/>
      </c>
      <c r="AA38" s="273" t="str">
        <f t="shared" si="42"/>
        <v/>
      </c>
      <c r="AB38" s="275" t="str">
        <f t="shared" si="42"/>
        <v/>
      </c>
      <c r="AC38" s="250"/>
    </row>
    <row r="39" spans="1:32" s="6" customFormat="1" ht="18.75" customHeight="1" thickBot="1" x14ac:dyDescent="0.3">
      <c r="A39" s="215"/>
      <c r="B39" s="175"/>
      <c r="C39" s="154"/>
      <c r="D39" s="154"/>
      <c r="E39" s="154"/>
      <c r="F39" s="154"/>
      <c r="G39" s="154"/>
      <c r="H39" s="154"/>
      <c r="I39" s="154"/>
      <c r="J39" s="152"/>
      <c r="K39" s="154"/>
      <c r="L39" s="154"/>
      <c r="M39" s="154"/>
      <c r="N39" s="154"/>
      <c r="O39" s="154"/>
      <c r="P39" s="154"/>
      <c r="Q39" s="311" t="s">
        <v>141</v>
      </c>
      <c r="R39" s="403">
        <f t="shared" ref="R39:W39" si="45">IF(R$9=0,0,(R37-R$8)/R$9)</f>
        <v>0</v>
      </c>
      <c r="S39" s="404">
        <f t="shared" si="45"/>
        <v>0</v>
      </c>
      <c r="T39" s="405">
        <f t="shared" si="45"/>
        <v>0</v>
      </c>
      <c r="U39" s="436">
        <f t="shared" si="45"/>
        <v>0</v>
      </c>
      <c r="V39" s="437">
        <f t="shared" si="45"/>
        <v>0</v>
      </c>
      <c r="W39" s="437">
        <f t="shared" si="45"/>
        <v>0</v>
      </c>
      <c r="X39" s="260" t="str">
        <f>IF(S37=0,"",+X37/$Q37*0.001)</f>
        <v/>
      </c>
      <c r="Y39" s="260" t="str">
        <f>IF(T37=0,"",+Y37/$Q37*0.001)</f>
        <v/>
      </c>
      <c r="Z39" s="260" t="str">
        <f>+Z38</f>
        <v/>
      </c>
      <c r="AA39" s="260" t="str">
        <f>IF(OR(AA37="k.A.",Q37=0),"",+AA37/$Q37*0.001)</f>
        <v/>
      </c>
      <c r="AB39" s="260" t="str">
        <f>IF(OR(AB37="k.A.",Q37=0),"",+AB37/$Q37*0.001)</f>
        <v/>
      </c>
      <c r="AC39" s="261"/>
    </row>
    <row r="40" spans="1:32" s="6" customFormat="1" ht="18.75" customHeight="1" thickBot="1" x14ac:dyDescent="0.3">
      <c r="A40" s="215"/>
      <c r="B40" s="175"/>
      <c r="C40" s="154"/>
      <c r="D40" s="154"/>
      <c r="E40" s="154"/>
      <c r="F40" s="154"/>
      <c r="G40" s="154"/>
      <c r="H40" s="154"/>
      <c r="I40" s="154"/>
      <c r="J40" s="154"/>
      <c r="K40" s="154"/>
      <c r="L40" s="154"/>
      <c r="M40" s="154"/>
      <c r="N40" s="154"/>
      <c r="O40" s="438" t="s">
        <v>35</v>
      </c>
      <c r="P40" s="438"/>
      <c r="Q40" s="439" t="s">
        <v>51</v>
      </c>
      <c r="R40" s="440" t="str">
        <f t="shared" ref="R40:W40" si="46">IF(R11=0,"",+R37/R11)</f>
        <v/>
      </c>
      <c r="S40" s="441" t="str">
        <f t="shared" si="46"/>
        <v/>
      </c>
      <c r="T40" s="441" t="str">
        <f t="shared" si="46"/>
        <v/>
      </c>
      <c r="U40" s="442" t="str">
        <f t="shared" si="46"/>
        <v/>
      </c>
      <c r="V40" s="443" t="str">
        <f t="shared" si="46"/>
        <v/>
      </c>
      <c r="W40" s="443" t="str">
        <f t="shared" si="46"/>
        <v/>
      </c>
      <c r="X40" s="276"/>
      <c r="Y40" s="277" t="str">
        <f>IF(Q37=0,"",+Y39*100)</f>
        <v/>
      </c>
      <c r="Z40" s="278" t="s">
        <v>36</v>
      </c>
      <c r="AA40" s="277"/>
      <c r="AB40" s="279"/>
      <c r="AC40" s="280"/>
    </row>
    <row r="41" spans="1:32" s="6" customFormat="1" ht="18.75" customHeight="1" x14ac:dyDescent="0.25">
      <c r="A41" s="215"/>
      <c r="B41" s="175"/>
      <c r="C41" s="154"/>
      <c r="D41" s="154"/>
      <c r="E41" s="154"/>
      <c r="F41" s="154"/>
      <c r="G41" s="154"/>
      <c r="H41" s="154"/>
      <c r="I41" s="154"/>
      <c r="J41" s="154"/>
      <c r="K41" s="154"/>
      <c r="L41" s="154"/>
      <c r="M41" s="154"/>
      <c r="N41" s="154"/>
      <c r="O41" s="438"/>
      <c r="P41" s="438"/>
      <c r="Q41" s="439"/>
      <c r="R41" s="439"/>
      <c r="S41" s="439"/>
      <c r="T41" s="439"/>
      <c r="U41" s="439"/>
      <c r="V41" s="439"/>
      <c r="W41" s="439"/>
      <c r="X41" s="276"/>
      <c r="Y41" s="277"/>
      <c r="Z41" s="278"/>
      <c r="AA41" s="277"/>
      <c r="AB41" s="279"/>
      <c r="AC41" s="280"/>
    </row>
    <row r="42" spans="1:32" s="9" customFormat="1" ht="14.25" customHeight="1" thickBot="1" x14ac:dyDescent="0.25">
      <c r="A42" s="667" t="str">
        <f>'Zuteilung-Milchleistungsfutter'!$A$50</f>
        <v>Uni Rat 2016, © W. Sekul, LAZBW Aulendorf             Die Daten sind auf Plausibilität zu prüfen, um Eingabe- und Berechnungsfehler auszuschließen. Es wird keine Gewähr zur Richtigkeit der Daten übernommen.</v>
      </c>
      <c r="B42" s="668"/>
      <c r="C42" s="668"/>
      <c r="D42" s="668"/>
      <c r="E42" s="668"/>
      <c r="F42" s="668"/>
      <c r="G42" s="668"/>
      <c r="H42" s="668"/>
      <c r="I42" s="668"/>
      <c r="J42" s="668"/>
      <c r="K42" s="668"/>
      <c r="L42" s="668"/>
      <c r="M42" s="668"/>
      <c r="N42" s="668"/>
      <c r="O42" s="668"/>
      <c r="P42" s="668"/>
      <c r="Q42" s="668"/>
      <c r="R42" s="668"/>
      <c r="S42" s="668"/>
      <c r="T42" s="670"/>
      <c r="U42" s="671"/>
      <c r="V42" s="671"/>
      <c r="W42" s="668"/>
      <c r="X42" s="668"/>
      <c r="Y42" s="668"/>
      <c r="Z42" s="668"/>
      <c r="AA42" s="668"/>
      <c r="AB42" s="668"/>
      <c r="AC42" s="669"/>
    </row>
    <row r="43" spans="1:32" ht="13.5" hidden="1" thickTop="1" x14ac:dyDescent="0.2">
      <c r="AD43" s="7"/>
      <c r="AE43" s="7"/>
      <c r="AF43" s="7"/>
    </row>
    <row r="44" spans="1:32" hidden="1" x14ac:dyDescent="0.2"/>
    <row r="45" spans="1:32" hidden="1" x14ac:dyDescent="0.2">
      <c r="K45" s="1">
        <f>SUM(K38:K43)</f>
        <v>0</v>
      </c>
    </row>
    <row r="46" spans="1:32" hidden="1" x14ac:dyDescent="0.2">
      <c r="E46" s="8"/>
    </row>
    <row r="47" spans="1:32" hidden="1" x14ac:dyDescent="0.2">
      <c r="E47" s="8"/>
    </row>
    <row r="48" spans="1:32" hidden="1" x14ac:dyDescent="0.2">
      <c r="E48" s="8"/>
    </row>
    <row r="49" spans="5:5" hidden="1" x14ac:dyDescent="0.2">
      <c r="E49" s="8"/>
    </row>
    <row r="50" spans="5:5" hidden="1" x14ac:dyDescent="0.2">
      <c r="E50" s="8"/>
    </row>
    <row r="51" spans="5:5" hidden="1" x14ac:dyDescent="0.2">
      <c r="E51" s="8"/>
    </row>
  </sheetData>
  <sheetProtection password="ECA3" sheet="1" objects="1" scenarios="1"/>
  <customSheetViews>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s>
  <mergeCells count="3">
    <mergeCell ref="H22:J22"/>
    <mergeCell ref="H30:J30"/>
    <mergeCell ref="H37:J37"/>
  </mergeCells>
  <phoneticPr fontId="8" type="noConversion"/>
  <conditionalFormatting sqref="AC16:AC21">
    <cfRule type="containsText" dxfId="23" priority="3" operator="containsText" text="?">
      <formula>NOT(ISERROR(SEARCH("?",AC16)))</formula>
    </cfRule>
  </conditionalFormatting>
  <conditionalFormatting sqref="AC26:AC29">
    <cfRule type="containsText" dxfId="22" priority="2" operator="containsText" text="?">
      <formula>NOT(ISERROR(SEARCH("?",AC26)))</formula>
    </cfRule>
  </conditionalFormatting>
  <conditionalFormatting sqref="AC34:AC35">
    <cfRule type="containsText" dxfId="21" priority="1" operator="containsText" text="?">
      <formula>NOT(ISERROR(SEARCH("?",AC34)))</formula>
    </cfRule>
  </conditionalFormatting>
  <printOptions horizontalCentered="1"/>
  <pageMargins left="0.39370078740157483" right="0.31496062992125984" top="0.70866141732283472" bottom="0.31496062992125984" header="0.51181102362204722" footer="0.11811023622047245"/>
  <pageSetup paperSize="9" scale="76" orientation="landscape" r:id="rId2"/>
  <headerFooter>
    <oddFooter>&amp;L&amp;F&amp;A&amp;R&amp;D&amp;T</oddFooter>
  </headerFooter>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pageSetUpPr fitToPage="1"/>
  </sheetPr>
  <dimension ref="A1:AM66"/>
  <sheetViews>
    <sheetView showGridLines="0" showRowColHeaders="0" zoomScale="115" zoomScaleNormal="115" workbookViewId="0">
      <selection activeCell="B5" sqref="B5"/>
    </sheetView>
  </sheetViews>
  <sheetFormatPr baseColWidth="10" defaultColWidth="0" defaultRowHeight="11.25" zeroHeight="1" outlineLevelCol="1" x14ac:dyDescent="0.2"/>
  <cols>
    <col min="1" max="1" width="12.140625" style="120" customWidth="1"/>
    <col min="2" max="5" width="12.140625" style="120" hidden="1" customWidth="1"/>
    <col min="6" max="6" width="10.140625" style="120" customWidth="1"/>
    <col min="7" max="7" width="11.85546875" style="120" customWidth="1"/>
    <col min="8" max="9" width="10.140625" style="120" customWidth="1"/>
    <col min="10" max="10" width="12.5703125" style="120" customWidth="1"/>
    <col min="11" max="11" width="1.42578125" style="120" customWidth="1"/>
    <col min="12" max="12" width="10.42578125" style="120" customWidth="1"/>
    <col min="13" max="13" width="1.42578125" style="120" customWidth="1"/>
    <col min="14" max="17" width="9.140625" style="120" customWidth="1"/>
    <col min="18" max="21" width="9.140625" style="120" hidden="1" customWidth="1" outlineLevel="1"/>
    <col min="22" max="22" width="2.42578125" style="120" customWidth="1" collapsed="1"/>
    <col min="23" max="28" width="9.28515625" style="120" hidden="1" customWidth="1" outlineLevel="1"/>
    <col min="29" max="29" width="11" style="120" customWidth="1" collapsed="1"/>
    <col min="30" max="31" width="15.42578125" style="120" customWidth="1"/>
    <col min="32" max="32" width="12.85546875" style="120" customWidth="1"/>
    <col min="33" max="33" width="1.42578125" style="120" customWidth="1"/>
    <col min="34" max="34" width="0.5703125" style="148" customWidth="1"/>
    <col min="35" max="39" width="11.42578125" style="148" hidden="1" customWidth="1"/>
    <col min="40" max="16384" width="11.42578125" style="120" hidden="1"/>
  </cols>
  <sheetData>
    <row r="1" spans="1:39" ht="34.5" customHeight="1" thickTop="1" x14ac:dyDescent="0.2">
      <c r="A1" s="1497" t="s">
        <v>281</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19"/>
    </row>
    <row r="2" spans="1:39" ht="4.5" customHeight="1" x14ac:dyDescent="0.2">
      <c r="A2" s="121"/>
      <c r="B2" s="123"/>
      <c r="C2" s="123"/>
      <c r="D2" s="123"/>
      <c r="E2" s="123"/>
      <c r="F2" s="123"/>
      <c r="G2" s="123"/>
      <c r="H2" s="123"/>
      <c r="I2" s="123"/>
      <c r="J2" s="122"/>
      <c r="K2" s="122"/>
      <c r="L2" s="122"/>
      <c r="M2" s="122"/>
      <c r="N2" s="122"/>
      <c r="O2" s="122"/>
      <c r="P2" s="122"/>
      <c r="Q2" s="122"/>
      <c r="R2" s="122"/>
      <c r="S2" s="122"/>
      <c r="T2" s="122"/>
      <c r="U2" s="122"/>
      <c r="V2" s="122"/>
      <c r="W2" s="122"/>
      <c r="X2" s="122"/>
      <c r="Y2" s="122"/>
      <c r="Z2" s="122"/>
      <c r="AA2" s="122"/>
      <c r="AB2" s="122"/>
      <c r="AC2" s="122"/>
      <c r="AD2" s="122"/>
      <c r="AE2" s="122"/>
      <c r="AF2" s="122"/>
      <c r="AG2" s="124"/>
    </row>
    <row r="3" spans="1:39" s="139" customFormat="1" ht="4.5" customHeight="1" x14ac:dyDescent="0.2">
      <c r="A3" s="135"/>
      <c r="B3" s="137"/>
      <c r="C3" s="137"/>
      <c r="D3" s="137"/>
      <c r="E3" s="137"/>
      <c r="F3" s="137"/>
      <c r="G3" s="137"/>
      <c r="H3" s="137"/>
      <c r="I3" s="137"/>
      <c r="J3" s="129"/>
      <c r="K3" s="129"/>
      <c r="L3" s="129"/>
      <c r="M3" s="129"/>
      <c r="N3" s="129"/>
      <c r="O3" s="129"/>
      <c r="P3" s="129"/>
      <c r="Q3" s="129"/>
      <c r="R3" s="129"/>
      <c r="S3" s="129"/>
      <c r="T3" s="129"/>
      <c r="U3" s="129"/>
      <c r="V3" s="129"/>
      <c r="W3" s="129"/>
      <c r="X3" s="129"/>
      <c r="Y3" s="129"/>
      <c r="Z3" s="129"/>
      <c r="AA3" s="129"/>
      <c r="AB3" s="129"/>
      <c r="AC3" s="144"/>
      <c r="AD3" s="144"/>
      <c r="AE3" s="144"/>
      <c r="AF3" s="136" t="str">
        <f>'Ration Milch'!$Y$34</f>
        <v/>
      </c>
      <c r="AG3" s="138"/>
      <c r="AH3" s="148"/>
      <c r="AI3" s="148"/>
      <c r="AJ3" s="148"/>
      <c r="AK3" s="148"/>
      <c r="AL3" s="148"/>
      <c r="AM3" s="148"/>
    </row>
    <row r="4" spans="1:39" s="133" customFormat="1" ht="24.75" customHeight="1" x14ac:dyDescent="0.2">
      <c r="A4" s="1294" t="s">
        <v>273</v>
      </c>
      <c r="B4" s="1295"/>
      <c r="C4" s="1295"/>
      <c r="D4" s="1295"/>
      <c r="E4" s="1295"/>
      <c r="F4" s="1295"/>
      <c r="G4" s="1295"/>
      <c r="H4" s="1295"/>
      <c r="I4" s="1295"/>
      <c r="J4" s="1503" t="s">
        <v>274</v>
      </c>
      <c r="K4" s="1504"/>
      <c r="L4" s="1291"/>
      <c r="M4" s="1292"/>
      <c r="N4" s="1292"/>
      <c r="O4" s="1292"/>
      <c r="P4" s="1292"/>
      <c r="Q4" s="1292"/>
      <c r="R4" s="1292"/>
      <c r="S4" s="1292"/>
      <c r="T4" s="1292"/>
      <c r="U4" s="1292"/>
      <c r="X4" s="1440"/>
      <c r="Y4" s="1440"/>
      <c r="Z4" s="1440"/>
      <c r="AA4" s="1440"/>
      <c r="AB4" s="1440"/>
      <c r="AC4" s="1440"/>
      <c r="AD4" s="1505" t="s">
        <v>455</v>
      </c>
      <c r="AE4" s="1505"/>
      <c r="AF4" s="785">
        <v>171</v>
      </c>
      <c r="AG4" s="132"/>
      <c r="AH4" s="148"/>
      <c r="AI4" s="148"/>
      <c r="AJ4" s="148"/>
      <c r="AK4" s="148"/>
      <c r="AL4" s="148"/>
      <c r="AM4" s="148"/>
    </row>
    <row r="5" spans="1:39" s="133" customFormat="1" ht="3.75" customHeight="1" x14ac:dyDescent="0.2">
      <c r="A5" s="525"/>
      <c r="B5" s="526"/>
      <c r="C5" s="526"/>
      <c r="D5" s="526"/>
      <c r="E5" s="526"/>
      <c r="F5" s="526"/>
      <c r="G5" s="526"/>
      <c r="H5" s="526"/>
      <c r="I5" s="526"/>
      <c r="J5" s="129"/>
      <c r="K5" s="129"/>
      <c r="L5" s="131"/>
      <c r="M5" s="131"/>
      <c r="N5" s="131"/>
      <c r="O5" s="131"/>
      <c r="P5" s="131"/>
      <c r="Q5" s="131"/>
      <c r="R5" s="131"/>
      <c r="S5" s="131"/>
      <c r="T5" s="131"/>
      <c r="U5" s="131"/>
      <c r="X5" s="123"/>
      <c r="Y5" s="123"/>
      <c r="Z5" s="123"/>
      <c r="AA5" s="123"/>
      <c r="AB5" s="123"/>
      <c r="AC5" s="123"/>
      <c r="AD5" s="123"/>
      <c r="AE5" s="1178"/>
      <c r="AF5" s="786">
        <f>INDEX(Tabelle,AF$4,3)</f>
        <v>7.9</v>
      </c>
      <c r="AG5" s="132"/>
      <c r="AH5" s="148"/>
      <c r="AI5" s="148"/>
      <c r="AJ5" s="148"/>
      <c r="AK5" s="148"/>
      <c r="AL5" s="148"/>
      <c r="AM5" s="148"/>
    </row>
    <row r="6" spans="1:39" ht="21.75" customHeight="1" x14ac:dyDescent="0.2">
      <c r="A6" s="1294" t="s">
        <v>451</v>
      </c>
      <c r="B6" s="1295"/>
      <c r="C6" s="1295"/>
      <c r="D6" s="1295"/>
      <c r="E6" s="1295"/>
      <c r="F6" s="1295"/>
      <c r="G6" s="1295"/>
      <c r="H6" s="1295"/>
      <c r="I6" s="1295"/>
      <c r="J6" s="1507">
        <v>11000</v>
      </c>
      <c r="K6" s="1508"/>
      <c r="L6" s="125"/>
      <c r="M6" s="125"/>
      <c r="N6" s="125"/>
      <c r="O6" s="125"/>
      <c r="P6" s="125"/>
      <c r="Q6" s="125"/>
      <c r="R6" s="125"/>
      <c r="S6" s="125"/>
      <c r="T6" s="125"/>
      <c r="U6" s="125"/>
      <c r="X6" s="1349"/>
      <c r="Y6" s="1349"/>
      <c r="Z6" s="1349"/>
      <c r="AA6" s="1349"/>
      <c r="AB6" s="1349"/>
      <c r="AC6" s="1349"/>
      <c r="AD6" s="1505" t="s">
        <v>468</v>
      </c>
      <c r="AE6" s="1505"/>
      <c r="AF6" s="126">
        <v>152</v>
      </c>
      <c r="AG6" s="127"/>
    </row>
    <row r="7" spans="1:39" ht="4.5" customHeight="1" x14ac:dyDescent="0.2">
      <c r="A7" s="525"/>
      <c r="B7" s="526"/>
      <c r="C7" s="526"/>
      <c r="D7" s="526"/>
      <c r="E7" s="526"/>
      <c r="F7" s="526"/>
      <c r="G7" s="526"/>
      <c r="H7" s="526"/>
      <c r="I7" s="526"/>
      <c r="J7" s="129"/>
      <c r="K7" s="129"/>
      <c r="L7" s="125"/>
      <c r="M7" s="125"/>
      <c r="N7" s="125"/>
      <c r="O7" s="125"/>
      <c r="P7" s="125"/>
      <c r="Q7" s="125"/>
      <c r="R7" s="125"/>
      <c r="S7" s="125"/>
      <c r="T7" s="125"/>
      <c r="U7" s="125"/>
      <c r="X7" s="125"/>
      <c r="Y7" s="125"/>
      <c r="Z7" s="125"/>
      <c r="AA7" s="125"/>
      <c r="AB7" s="125"/>
      <c r="AC7" s="125"/>
      <c r="AD7" s="125"/>
      <c r="AE7" s="125"/>
      <c r="AF7" s="125"/>
      <c r="AG7" s="127"/>
    </row>
    <row r="8" spans="1:39" ht="21.75" customHeight="1" x14ac:dyDescent="0.2">
      <c r="A8" s="1294" t="s">
        <v>272</v>
      </c>
      <c r="B8" s="1295"/>
      <c r="C8" s="1295"/>
      <c r="D8" s="1295"/>
      <c r="E8" s="1295"/>
      <c r="F8" s="1295"/>
      <c r="G8" s="1295"/>
      <c r="H8" s="1295"/>
      <c r="I8" s="1295"/>
      <c r="J8" s="1507">
        <v>2</v>
      </c>
      <c r="K8" s="1508"/>
      <c r="L8" s="125"/>
      <c r="M8" s="125"/>
      <c r="N8" s="125"/>
      <c r="O8" s="125"/>
      <c r="P8" s="125"/>
      <c r="Q8" s="125"/>
      <c r="R8" s="125"/>
      <c r="S8" s="125"/>
      <c r="T8" s="125"/>
      <c r="U8" s="125"/>
      <c r="X8" s="125"/>
      <c r="Y8" s="125"/>
      <c r="Z8" s="125"/>
      <c r="AA8" s="125"/>
      <c r="AB8" s="125"/>
      <c r="AC8" s="125"/>
      <c r="AD8" s="1216" t="s">
        <v>409</v>
      </c>
      <c r="AE8" s="125"/>
      <c r="AF8" s="1296"/>
      <c r="AG8" s="127"/>
    </row>
    <row r="9" spans="1:39" ht="4.5" customHeight="1" x14ac:dyDescent="0.2">
      <c r="A9" s="525"/>
      <c r="B9" s="526"/>
      <c r="C9" s="526"/>
      <c r="D9" s="526"/>
      <c r="E9" s="526"/>
      <c r="F9" s="526"/>
      <c r="G9" s="526"/>
      <c r="H9" s="526"/>
      <c r="I9" s="526"/>
      <c r="J9" s="129"/>
      <c r="K9" s="129"/>
      <c r="L9" s="125"/>
      <c r="M9" s="125"/>
      <c r="N9" s="125"/>
      <c r="O9" s="125"/>
      <c r="P9" s="125"/>
      <c r="Q9" s="125"/>
      <c r="R9" s="125"/>
      <c r="S9" s="125"/>
      <c r="T9" s="125"/>
      <c r="U9" s="125"/>
      <c r="X9" s="129"/>
      <c r="Y9" s="129"/>
      <c r="Z9" s="129"/>
      <c r="AA9" s="129"/>
      <c r="AB9" s="129"/>
      <c r="AC9" s="129"/>
      <c r="AD9" s="144"/>
      <c r="AE9" s="144"/>
      <c r="AF9" s="144"/>
      <c r="AG9" s="127"/>
    </row>
    <row r="10" spans="1:39" ht="21" customHeight="1" x14ac:dyDescent="0.2">
      <c r="A10" s="1294" t="s">
        <v>277</v>
      </c>
      <c r="B10" s="1295"/>
      <c r="C10" s="1295"/>
      <c r="D10" s="1295"/>
      <c r="E10" s="1295"/>
      <c r="F10" s="1295"/>
      <c r="G10" s="1295"/>
      <c r="H10" s="1295"/>
      <c r="I10" s="1295"/>
      <c r="J10" s="1507">
        <v>700</v>
      </c>
      <c r="K10" s="1508"/>
      <c r="L10" s="125"/>
      <c r="M10" s="125"/>
      <c r="N10" s="125"/>
      <c r="O10" s="125"/>
      <c r="P10" s="125"/>
      <c r="Q10" s="125"/>
      <c r="R10" s="125"/>
      <c r="S10" s="125"/>
      <c r="T10" s="125"/>
      <c r="U10" s="125"/>
      <c r="X10" s="125"/>
      <c r="Y10" s="125"/>
      <c r="Z10" s="125"/>
      <c r="AA10" s="125"/>
      <c r="AB10" s="125"/>
      <c r="AC10" s="125"/>
      <c r="AD10" s="1216" t="s">
        <v>410</v>
      </c>
      <c r="AE10" s="125"/>
      <c r="AF10" s="1296"/>
      <c r="AG10" s="128"/>
    </row>
    <row r="11" spans="1:39" s="139" customFormat="1" ht="4.5" customHeight="1" x14ac:dyDescent="0.2">
      <c r="A11" s="1193"/>
      <c r="B11" s="527"/>
      <c r="C11" s="527"/>
      <c r="D11" s="527"/>
      <c r="E11" s="527"/>
      <c r="F11" s="527"/>
      <c r="G11" s="1295"/>
      <c r="H11" s="527"/>
      <c r="I11" s="527"/>
      <c r="J11" s="130"/>
      <c r="K11" s="130"/>
      <c r="L11" s="129"/>
      <c r="M11" s="129"/>
      <c r="N11" s="129"/>
      <c r="O11" s="129"/>
      <c r="P11" s="129"/>
      <c r="Q11" s="129"/>
      <c r="R11" s="129"/>
      <c r="S11" s="129"/>
      <c r="T11" s="129"/>
      <c r="U11" s="129"/>
      <c r="X11" s="129"/>
      <c r="Y11" s="129"/>
      <c r="Z11" s="129"/>
      <c r="AA11" s="129"/>
      <c r="AB11" s="129"/>
      <c r="AC11" s="129"/>
      <c r="AD11" s="1178"/>
      <c r="AE11" s="1178"/>
      <c r="AF11" s="786">
        <f>INDEX(Tabelle,AF$4,2)/1000</f>
        <v>0.88</v>
      </c>
      <c r="AG11" s="138"/>
      <c r="AH11" s="148"/>
      <c r="AI11" s="148"/>
      <c r="AJ11" s="148"/>
      <c r="AK11" s="148"/>
      <c r="AL11" s="148"/>
      <c r="AM11" s="148"/>
    </row>
    <row r="12" spans="1:39" ht="21" customHeight="1" x14ac:dyDescent="0.2">
      <c r="A12" s="1294" t="s">
        <v>275</v>
      </c>
      <c r="B12" s="796"/>
      <c r="C12" s="796"/>
      <c r="D12" s="796"/>
      <c r="E12" s="796"/>
      <c r="F12" s="796"/>
      <c r="G12" s="1295"/>
      <c r="H12" s="1295"/>
      <c r="I12" s="1295"/>
      <c r="J12" s="1507">
        <v>4</v>
      </c>
      <c r="K12" s="1508"/>
      <c r="L12" s="125"/>
      <c r="M12" s="125"/>
      <c r="N12" s="125"/>
      <c r="O12" s="125"/>
      <c r="P12" s="125"/>
      <c r="Q12" s="125"/>
      <c r="R12" s="125"/>
      <c r="S12" s="125"/>
      <c r="T12" s="125"/>
      <c r="U12" s="125"/>
      <c r="X12" s="125"/>
      <c r="Y12" s="125"/>
      <c r="Z12" s="125"/>
      <c r="AA12" s="125"/>
      <c r="AB12" s="125"/>
      <c r="AC12" s="125"/>
      <c r="AD12" s="1216" t="s">
        <v>279</v>
      </c>
      <c r="AE12" s="123"/>
      <c r="AF12" s="787">
        <v>400</v>
      </c>
      <c r="AG12" s="128"/>
    </row>
    <row r="13" spans="1:39" s="139" customFormat="1" ht="3.75" customHeight="1" x14ac:dyDescent="0.2">
      <c r="A13" s="1194"/>
      <c r="B13" s="144"/>
      <c r="C13" s="144"/>
      <c r="D13" s="144"/>
      <c r="E13" s="144"/>
      <c r="F13" s="144"/>
      <c r="G13" s="1295"/>
      <c r="H13" s="144"/>
      <c r="I13" s="144"/>
      <c r="J13" s="144"/>
      <c r="K13" s="144"/>
      <c r="L13" s="129"/>
      <c r="M13" s="129"/>
      <c r="N13" s="129"/>
      <c r="O13" s="129"/>
      <c r="P13" s="129"/>
      <c r="Q13" s="129"/>
      <c r="R13" s="129"/>
      <c r="S13" s="129"/>
      <c r="T13" s="129"/>
      <c r="U13" s="129"/>
      <c r="X13" s="129"/>
      <c r="Y13" s="129"/>
      <c r="Z13" s="129"/>
      <c r="AA13" s="129"/>
      <c r="AB13" s="129"/>
      <c r="AC13" s="129"/>
      <c r="AD13" s="1178"/>
      <c r="AE13" s="1178"/>
      <c r="AF13" s="786">
        <v>0</v>
      </c>
      <c r="AG13" s="138"/>
      <c r="AH13" s="148"/>
      <c r="AI13" s="148"/>
      <c r="AJ13" s="148"/>
      <c r="AK13" s="148"/>
      <c r="AL13" s="148"/>
      <c r="AM13" s="148"/>
    </row>
    <row r="14" spans="1:39" ht="24.75" customHeight="1" x14ac:dyDescent="0.2">
      <c r="A14" s="1294" t="s">
        <v>276</v>
      </c>
      <c r="B14" s="796"/>
      <c r="C14" s="796"/>
      <c r="D14" s="796"/>
      <c r="E14" s="796"/>
      <c r="F14" s="796"/>
      <c r="G14" s="796"/>
      <c r="H14" s="1295"/>
      <c r="I14" s="1295"/>
      <c r="J14" s="1507">
        <v>3.4</v>
      </c>
      <c r="K14" s="1508"/>
      <c r="L14" s="125"/>
      <c r="M14" s="125"/>
      <c r="N14" s="125"/>
      <c r="O14" s="125"/>
      <c r="P14" s="125"/>
      <c r="Q14" s="125"/>
      <c r="R14" s="125"/>
      <c r="S14" s="125"/>
      <c r="T14" s="125"/>
      <c r="U14" s="125"/>
      <c r="X14" s="125"/>
      <c r="Y14" s="125"/>
      <c r="Z14" s="125"/>
      <c r="AA14" s="125"/>
      <c r="AB14" s="125"/>
      <c r="AC14" s="125"/>
      <c r="AD14" s="1216" t="s">
        <v>416</v>
      </c>
      <c r="AE14" s="123"/>
      <c r="AF14" s="788">
        <f>AF13*100</f>
        <v>0</v>
      </c>
      <c r="AG14" s="128"/>
    </row>
    <row r="15" spans="1:39" s="139" customFormat="1" ht="4.5" customHeight="1" x14ac:dyDescent="0.2">
      <c r="A15" s="525"/>
      <c r="B15" s="526"/>
      <c r="C15" s="526"/>
      <c r="D15" s="526"/>
      <c r="E15" s="526"/>
      <c r="F15" s="526"/>
      <c r="G15" s="526"/>
      <c r="H15" s="526"/>
      <c r="I15" s="526"/>
      <c r="J15" s="129"/>
      <c r="K15" s="129"/>
      <c r="L15" s="129"/>
      <c r="M15" s="129"/>
      <c r="N15" s="129"/>
      <c r="O15" s="129"/>
      <c r="P15" s="129"/>
      <c r="Q15" s="129"/>
      <c r="R15" s="129"/>
      <c r="S15" s="129"/>
      <c r="T15" s="129"/>
      <c r="U15" s="129"/>
      <c r="X15" s="129"/>
      <c r="Y15" s="129"/>
      <c r="Z15" s="129"/>
      <c r="AA15" s="129"/>
      <c r="AB15" s="129"/>
      <c r="AC15" s="129"/>
      <c r="AD15" s="1178"/>
      <c r="AE15" s="1178"/>
      <c r="AF15" s="786">
        <v>45</v>
      </c>
      <c r="AG15" s="138"/>
      <c r="AH15" s="148"/>
      <c r="AI15" s="148"/>
      <c r="AJ15" s="148"/>
      <c r="AK15" s="148"/>
      <c r="AL15" s="148"/>
      <c r="AM15" s="148"/>
    </row>
    <row r="16" spans="1:39" ht="21" customHeight="1" x14ac:dyDescent="0.2">
      <c r="A16" s="1499"/>
      <c r="B16" s="1500"/>
      <c r="C16" s="1500"/>
      <c r="D16" s="1500"/>
      <c r="E16" s="1500"/>
      <c r="F16" s="1500"/>
      <c r="G16" s="1500"/>
      <c r="H16" s="1295"/>
      <c r="I16" s="125"/>
      <c r="J16" s="125"/>
      <c r="K16" s="125"/>
      <c r="L16" s="125"/>
      <c r="M16" s="125"/>
      <c r="N16" s="125"/>
      <c r="O16" s="125"/>
      <c r="P16" s="125"/>
      <c r="Q16" s="125"/>
      <c r="R16" s="125"/>
      <c r="S16" s="125"/>
      <c r="T16" s="125"/>
      <c r="U16" s="125"/>
      <c r="X16" s="125"/>
      <c r="Y16" s="125"/>
      <c r="Z16" s="125"/>
      <c r="AA16" s="125"/>
      <c r="AB16" s="125"/>
      <c r="AC16" s="125"/>
      <c r="AD16" s="1216" t="s">
        <v>415</v>
      </c>
      <c r="AE16" s="1293"/>
      <c r="AF16" s="789">
        <f>AF15/100</f>
        <v>0.45</v>
      </c>
      <c r="AG16" s="128"/>
    </row>
    <row r="17" spans="1:39" s="139" customFormat="1" ht="4.5" customHeight="1" x14ac:dyDescent="0.2">
      <c r="A17" s="1195"/>
      <c r="B17" s="796"/>
      <c r="C17" s="796"/>
      <c r="D17" s="796"/>
      <c r="E17" s="796"/>
      <c r="F17" s="125"/>
      <c r="G17" s="125"/>
      <c r="H17" s="125"/>
      <c r="I17" s="144"/>
      <c r="J17" s="786">
        <f>INDEX(Tabelle,AF$6,3)</f>
        <v>7.34</v>
      </c>
      <c r="K17" s="144"/>
      <c r="L17" s="129"/>
      <c r="M17" s="129"/>
      <c r="N17" s="129"/>
      <c r="O17" s="129"/>
      <c r="P17" s="129"/>
      <c r="Q17" s="129"/>
      <c r="R17" s="129"/>
      <c r="S17" s="129"/>
      <c r="T17" s="129"/>
      <c r="U17" s="129"/>
      <c r="X17" s="129"/>
      <c r="Y17" s="129"/>
      <c r="Z17" s="129"/>
      <c r="AA17" s="129"/>
      <c r="AB17" s="129"/>
      <c r="AC17" s="129"/>
      <c r="AD17" s="1178"/>
      <c r="AE17" s="1178"/>
      <c r="AF17" s="786">
        <v>100</v>
      </c>
      <c r="AG17" s="138"/>
      <c r="AH17" s="148"/>
      <c r="AI17" s="148"/>
      <c r="AJ17" s="148"/>
      <c r="AK17" s="148"/>
      <c r="AL17" s="148"/>
      <c r="AM17" s="148"/>
    </row>
    <row r="18" spans="1:39" ht="21" customHeight="1" x14ac:dyDescent="0.2">
      <c r="A18" s="1501" t="s">
        <v>454</v>
      </c>
      <c r="B18" s="1502"/>
      <c r="C18" s="1502"/>
      <c r="D18" s="1502"/>
      <c r="E18" s="1502"/>
      <c r="F18" s="1502"/>
      <c r="G18" s="1502"/>
      <c r="H18" s="1502"/>
      <c r="I18" s="1502"/>
      <c r="J18" s="1509" t="str">
        <f>'Ration Milch'!W34</f>
        <v/>
      </c>
      <c r="K18" s="1509"/>
      <c r="L18" s="126" t="str">
        <f>'Ration Milch'!Z34</f>
        <v/>
      </c>
      <c r="M18" s="125"/>
      <c r="N18" s="125"/>
      <c r="O18" s="125"/>
      <c r="P18" s="125"/>
      <c r="Q18" s="125"/>
      <c r="R18" s="125"/>
      <c r="S18" s="125"/>
      <c r="T18" s="125"/>
      <c r="U18" s="125"/>
      <c r="X18" s="125"/>
      <c r="Y18" s="125"/>
      <c r="Z18" s="125"/>
      <c r="AA18" s="125"/>
      <c r="AB18" s="125"/>
      <c r="AC18" s="125"/>
      <c r="AD18" s="1216" t="s">
        <v>278</v>
      </c>
      <c r="AE18" s="123"/>
      <c r="AF18" s="790">
        <f>AF17/100</f>
        <v>1</v>
      </c>
      <c r="AG18" s="128"/>
    </row>
    <row r="19" spans="1:39" s="139" customFormat="1" ht="4.5" customHeight="1" x14ac:dyDescent="0.2">
      <c r="A19" s="1194"/>
      <c r="B19" s="144"/>
      <c r="C19" s="144"/>
      <c r="D19" s="144"/>
      <c r="E19" s="144"/>
      <c r="F19" s="144"/>
      <c r="G19" s="144"/>
      <c r="H19" s="144"/>
      <c r="I19" s="144"/>
      <c r="J19" s="786">
        <f>INDEX(Tabelle,AF$6,2)/1000</f>
        <v>0.89</v>
      </c>
      <c r="K19" s="144"/>
      <c r="L19" s="129"/>
      <c r="M19" s="129"/>
      <c r="N19" s="129"/>
      <c r="O19" s="129"/>
      <c r="P19" s="129"/>
      <c r="Q19" s="129"/>
      <c r="R19" s="129"/>
      <c r="S19" s="129"/>
      <c r="T19" s="129"/>
      <c r="U19" s="129"/>
      <c r="V19" s="144"/>
      <c r="W19" s="144"/>
      <c r="X19" s="144"/>
      <c r="Y19" s="144"/>
      <c r="Z19" s="144"/>
      <c r="AA19" s="144"/>
      <c r="AB19" s="144"/>
      <c r="AC19" s="144"/>
      <c r="AD19" s="144"/>
      <c r="AE19" s="144"/>
      <c r="AF19" s="144"/>
      <c r="AG19" s="138"/>
      <c r="AH19" s="148"/>
      <c r="AI19" s="148"/>
      <c r="AJ19" s="148"/>
      <c r="AK19" s="148"/>
      <c r="AL19" s="148"/>
      <c r="AM19" s="148"/>
    </row>
    <row r="20" spans="1:39" s="1177" customFormat="1" ht="40.5" customHeight="1" x14ac:dyDescent="0.2">
      <c r="A20" s="1172" t="s">
        <v>2</v>
      </c>
      <c r="B20" s="1173" t="s">
        <v>331</v>
      </c>
      <c r="C20" s="1173" t="s">
        <v>450</v>
      </c>
      <c r="D20" s="1173" t="s">
        <v>452</v>
      </c>
      <c r="E20" s="1173" t="s">
        <v>453</v>
      </c>
      <c r="F20" s="1290" t="s">
        <v>280</v>
      </c>
      <c r="G20" s="1290" t="s">
        <v>420</v>
      </c>
      <c r="H20" s="1290" t="s">
        <v>430</v>
      </c>
      <c r="I20" s="1290" t="s">
        <v>428</v>
      </c>
      <c r="J20" s="1290" t="s">
        <v>419</v>
      </c>
      <c r="K20" s="1506" t="s">
        <v>417</v>
      </c>
      <c r="L20" s="1506"/>
      <c r="M20" s="1506"/>
      <c r="N20" s="1290" t="s">
        <v>429</v>
      </c>
      <c r="O20" s="1290" t="s">
        <v>418</v>
      </c>
      <c r="P20" s="1290" t="s">
        <v>421</v>
      </c>
      <c r="Q20" s="1290" t="s">
        <v>413</v>
      </c>
      <c r="R20" s="1290" t="s">
        <v>422</v>
      </c>
      <c r="S20" s="1290" t="s">
        <v>423</v>
      </c>
      <c r="T20" s="1290" t="s">
        <v>424</v>
      </c>
      <c r="U20" s="1290" t="s">
        <v>425</v>
      </c>
      <c r="V20" s="1290"/>
      <c r="W20" s="1290" t="s">
        <v>46</v>
      </c>
      <c r="X20" s="1290" t="s">
        <v>47</v>
      </c>
      <c r="Y20" s="1290" t="s">
        <v>48</v>
      </c>
      <c r="Z20" s="1290" t="s">
        <v>49</v>
      </c>
      <c r="AA20" s="1290" t="s">
        <v>50</v>
      </c>
      <c r="AB20" s="1290" t="s">
        <v>414</v>
      </c>
      <c r="AC20" s="1290" t="s">
        <v>412</v>
      </c>
      <c r="AD20" s="1290" t="s">
        <v>411</v>
      </c>
      <c r="AE20" s="1439" t="s">
        <v>457</v>
      </c>
      <c r="AF20" s="1174" t="s">
        <v>338</v>
      </c>
      <c r="AG20" s="1175"/>
      <c r="AH20" s="1176"/>
      <c r="AI20" s="1176"/>
      <c r="AJ20" s="1176"/>
      <c r="AK20" s="1176"/>
      <c r="AL20" s="1176"/>
      <c r="AM20" s="1176"/>
    </row>
    <row r="21" spans="1:39" ht="16.5" customHeight="1" x14ac:dyDescent="0.25">
      <c r="A21" s="797">
        <f>IF(MLF_LakTag1=7000,14,IF(MLF_LakTag1=9000,16,IF(MLF_LakTag1=11000,18, "Eingabefehler - ECM")))</f>
        <v>18</v>
      </c>
      <c r="B21" s="795">
        <f t="shared" ref="B21:B49" si="0">A21*(MLF_Fett1*0.38+MLF_Prot1*0.21+1.05)/3.28</f>
        <v>18.021951219512193</v>
      </c>
      <c r="C21" s="1302">
        <f>IF(MLF_LakTag1=7000,273,IF(MLF_LakTag1=9000,301,336))</f>
        <v>336</v>
      </c>
      <c r="D21" s="1302">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1302" t="e">
        <f t="shared" ref="E21:E49" si="2">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147" t="e">
        <f t="shared" ref="F21:F49" si="3">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147" t="e">
        <f t="shared" ref="G21:G49" si="4">(F21-MLF_Kf_TS1*E21)</f>
        <v>#VALUE!</v>
      </c>
      <c r="H21" s="147" t="e">
        <f t="shared" ref="H21:H49" si="5">F21-N21</f>
        <v>#VALUE!</v>
      </c>
      <c r="I21" s="147" t="e">
        <f t="shared" ref="I21:I49" si="6">(TM_Grundration/TM_GF-1)*G21</f>
        <v>#DIV/0!</v>
      </c>
      <c r="J21" s="147">
        <f t="shared" ref="J21:J49" si="7">IF(A21&lt;MLF_AF_Milch1,0,MLF_AF_max1)</f>
        <v>0</v>
      </c>
      <c r="K21" s="145" t="e">
        <f>R21</f>
        <v>#VALUE!</v>
      </c>
      <c r="L21" s="1179" t="e">
        <f t="shared" ref="L21:L49" si="8">IF(($E21*MLF_Kf_TS1*MLF_KF_NEL1-$J21*MLF_AF_NEL1*MLF_AF_TS1)/(MLF_KF_NEL1*MLF_Kf_TS1)&lt;0,0,($E21*MLF_Kf_TS1*MLF_KF_NEL1-$J21*MLF_AF_NEL1*MLF_AF_TS1)/(MLF_KF_NEL1*MLF_Kf_TS1))</f>
        <v>#VALUE!</v>
      </c>
      <c r="M21" s="140" t="e">
        <f>R21</f>
        <v>#VALUE!</v>
      </c>
      <c r="N21" s="1180" t="e">
        <f t="shared" ref="N21:N32" si="9">I21+J21*INDEX(Tabelle,MLF_AF_Art1,2)/1000+L21*INDEX(Tabelle,MLF_Art_1,2)/1000</f>
        <v>#DIV/0!</v>
      </c>
      <c r="O21" s="1180" t="e">
        <f t="shared" ref="O21:O49" si="10">($G21*MLF_GF_NEL1+$J21*INDEX(Tabelle,MLF_AF_Art1,3)/AF_TS1+$L21*INDEX(Tabelle,MLF_Art_1,3)/MLF_Kf_TS1)/$F21</f>
        <v>#VALUE!</v>
      </c>
      <c r="P21" s="1182" t="e">
        <f t="shared" ref="P21:P49" si="11">($G21*GR_nXP+$J21*INDEX(Tabelle,MLF_AF_Art1,7)*$J$19+$L21*INDEX(Tabelle,MLF_Art_1,7)*MLF_Kf_TS1)/$F21</f>
        <v>#VALUE!</v>
      </c>
      <c r="Q21" s="793" t="e">
        <f t="shared" ref="Q21:Q49" si="12">$G21*GR_RNB+$J21*INDEX(Tabelle,MLF_AF_Art1,8)*$J$19+$L21*INDEX(Tabelle,MLF_Art_1,8)*MLF_Kf_TS1</f>
        <v>#VALUE!</v>
      </c>
      <c r="R21" s="1182" t="e">
        <f t="shared" ref="R21:R49" si="13">($G21*GR_NFC+$J21*INDEX(Tabelle,MLF_AF_Art1,12)*$J$19+$L21*INDEX(Tabelle,MLF_Art_1,12)*MLF_Kf_TS1)/$F21</f>
        <v>#VALUE!</v>
      </c>
      <c r="S21" s="1183" t="e">
        <f t="shared" ref="S21:S49" si="14">($G21*GR_SW+$J21*INDEX(Tabelle,MLF_AF_Art1,9)*AF_TS1+$L21*INDEX(Tabelle,MLF_Art_1,9)*MLF_Kf_TS1)/$F21</f>
        <v>#VALUE!</v>
      </c>
      <c r="T21" s="1182" t="e">
        <f t="shared" ref="T21:T49" si="15">($G21*GR_ADF+$J21*INDEX(Tabelle,MLF_AF_Art1,10)*$J$19+$L21*INDEX(Tabelle,MLF_Art_1,10)*MLF_Kf_TS1)/$F21</f>
        <v>#VALUE!</v>
      </c>
      <c r="U21" s="1184" t="e">
        <f t="shared" ref="U21:U49" si="16">($G21*GR_NDF+$J21*INDEX(Tabelle,MLF_AF_Art1,11)*$J$19+$L21*INDEX(Tabelle,MLF_Art_1,11)*MLF_Kf_TS1)/$F21</f>
        <v>#VALUE!</v>
      </c>
      <c r="V21" s="1185"/>
      <c r="W21" s="1191" t="e">
        <f t="shared" ref="W21:W49" si="17">($G21*GR_Ca+$J21*INDEX(Tabelle,MLF_AF_Art1,19)*$J$19+$L21*INDEX(Tabelle,MLF_Art_1,19)*MLF_Kf_TS1)/$F21</f>
        <v>#VALUE!</v>
      </c>
      <c r="X21" s="1191" t="e">
        <f t="shared" ref="X21:X49" si="18">($G21*GR_P+$J21*INDEX(Tabelle,MLF_AF_Art1,20)*$J$19+$L21*INDEX(Tabelle,MLF_Art_1,20)*MLF_Kf_TS1)/$F21</f>
        <v>#VALUE!</v>
      </c>
      <c r="Y21" s="1191" t="e">
        <f t="shared" ref="Y21:Y49" si="19">($G21*GR_Na+$J21*INDEX(Tabelle,MLF_AF_Art1,21)*$J$19+$L21*INDEX(Tabelle,MLF_Art_1,21)*MLF_Kf_TS1)/$F21</f>
        <v>#VALUE!</v>
      </c>
      <c r="Z21" s="1191" t="e">
        <f t="shared" ref="Z21:Z49" si="20">($G21*GR_Mg+$J21*INDEX(Tabelle,MLF_AF_Art1,22)*$J$19+$L21*INDEX(Tabelle,MLF_Art_1,22)*MLF_Kf_TS1)/$F21</f>
        <v>#VALUE!</v>
      </c>
      <c r="AA21" s="1191" t="e">
        <f t="shared" ref="AA21:AA49" si="21">($G21*GR_K+$J21*INDEX(Tabelle,MLF_AF_Art1,23)*$J$19+$L21*INDEX(Tabelle,MLF_Art_1,23)*MLF_Kf_TS1)/$F21</f>
        <v>#VALUE!</v>
      </c>
      <c r="AB21" s="1191" t="e">
        <f t="shared" ref="AB21:AB49" si="22">($G21*GR_Se+$J21*INDEX(Tabelle,MLF_AF_Art1,24)*$J$19+$L21*INDEX(Tabelle,MLF_Art_1,24)*MLF_Kf_TS1)/$F21</f>
        <v>#VALUE!</v>
      </c>
      <c r="AC21" s="1297" t="e">
        <f t="shared" ref="AC21:AC49" si="23">G21*MLF_GF_NEL1+J21*MLF_AF_NEL1*MLF_AF_TS1+L21*MLF_KF_NEL1*MLF_Kf_TS1-B21*3.28-MLF_LM1^0.75*0.293</f>
        <v>#VALUE!</v>
      </c>
      <c r="AD21" s="1170" t="e">
        <f>IF(AC21&gt;0,AC21/25.5*1000,AC21/21*1000)</f>
        <v>#VALUE!</v>
      </c>
      <c r="AE21" s="1183" t="e">
        <f t="shared" ref="AE21:AE49" si="24">G21*Kosten_TM+J21*INDEX(Tabelle,MLF_AF_Art1,25)/100+L21*INDEX(Tabelle,MLF_Art_1,25)/100</f>
        <v>#VALUE!</v>
      </c>
      <c r="AF21" s="792" t="e">
        <f>N21/0.88/(A21*(J$12*0.38+J$14*0.21+1.05)/3.28)*1000</f>
        <v>#DIV/0!</v>
      </c>
      <c r="AG21" s="142"/>
      <c r="AI21" s="141"/>
    </row>
    <row r="22" spans="1:39" ht="16.5" customHeight="1" x14ac:dyDescent="0.25">
      <c r="A22" s="797">
        <f>A21+1</f>
        <v>19</v>
      </c>
      <c r="B22" s="795">
        <f t="shared" si="0"/>
        <v>19.023170731707317</v>
      </c>
      <c r="C22" s="1302">
        <f>AVERAGE(C21,C23)</f>
        <v>336</v>
      </c>
      <c r="D22" s="1302">
        <f t="shared" si="1"/>
        <v>0</v>
      </c>
      <c r="E22" s="1302" t="e">
        <f t="shared" si="2"/>
        <v>#VALUE!</v>
      </c>
      <c r="F22" s="147" t="e">
        <f t="shared" si="3"/>
        <v>#VALUE!</v>
      </c>
      <c r="G22" s="147" t="e">
        <f t="shared" si="4"/>
        <v>#VALUE!</v>
      </c>
      <c r="H22" s="147" t="e">
        <f t="shared" si="5"/>
        <v>#VALUE!</v>
      </c>
      <c r="I22" s="147" t="e">
        <f t="shared" si="6"/>
        <v>#DIV/0!</v>
      </c>
      <c r="J22" s="147">
        <f t="shared" si="7"/>
        <v>0</v>
      </c>
      <c r="K22" s="146" t="e">
        <f>R22</f>
        <v>#VALUE!</v>
      </c>
      <c r="L22" s="1179" t="e">
        <f t="shared" si="8"/>
        <v>#VALUE!</v>
      </c>
      <c r="M22" s="140" t="e">
        <f>R22</f>
        <v>#VALUE!</v>
      </c>
      <c r="N22" s="1181" t="e">
        <f t="shared" si="9"/>
        <v>#DIV/0!</v>
      </c>
      <c r="O22" s="1181" t="e">
        <f t="shared" si="10"/>
        <v>#VALUE!</v>
      </c>
      <c r="P22" s="1186" t="e">
        <f t="shared" si="11"/>
        <v>#VALUE!</v>
      </c>
      <c r="Q22" s="794" t="e">
        <f t="shared" si="12"/>
        <v>#VALUE!</v>
      </c>
      <c r="R22" s="1186" t="e">
        <f t="shared" si="13"/>
        <v>#VALUE!</v>
      </c>
      <c r="S22" s="1187" t="e">
        <f t="shared" si="14"/>
        <v>#VALUE!</v>
      </c>
      <c r="T22" s="1186" t="e">
        <f t="shared" si="15"/>
        <v>#VALUE!</v>
      </c>
      <c r="U22" s="1188" t="e">
        <f t="shared" si="16"/>
        <v>#VALUE!</v>
      </c>
      <c r="V22" s="140"/>
      <c r="W22" s="1192" t="e">
        <f t="shared" si="17"/>
        <v>#VALUE!</v>
      </c>
      <c r="X22" s="1192" t="e">
        <f t="shared" si="18"/>
        <v>#VALUE!</v>
      </c>
      <c r="Y22" s="1192" t="e">
        <f t="shared" si="19"/>
        <v>#VALUE!</v>
      </c>
      <c r="Z22" s="1192" t="e">
        <f t="shared" si="20"/>
        <v>#VALUE!</v>
      </c>
      <c r="AA22" s="1192" t="e">
        <f t="shared" si="21"/>
        <v>#VALUE!</v>
      </c>
      <c r="AB22" s="1192" t="e">
        <f t="shared" si="22"/>
        <v>#VALUE!</v>
      </c>
      <c r="AC22" s="1298" t="e">
        <f t="shared" si="23"/>
        <v>#VALUE!</v>
      </c>
      <c r="AD22" s="1171" t="e">
        <f t="shared" ref="AD22:AD49" si="25">IF(AC22&gt;0,AC22/25.5*1000,AC22/21*1000)</f>
        <v>#VALUE!</v>
      </c>
      <c r="AE22" s="1187" t="e">
        <f t="shared" si="24"/>
        <v>#VALUE!</v>
      </c>
      <c r="AF22" s="792" t="e">
        <f t="shared" ref="AF22:AF49" si="26">N22/0.88/(A22*(J$12*0.38+J$14*0.21+1.05)/3.28)*1000</f>
        <v>#DIV/0!</v>
      </c>
      <c r="AG22" s="142"/>
      <c r="AJ22" s="1179"/>
      <c r="AK22" s="1179"/>
      <c r="AL22" s="1179"/>
      <c r="AM22" s="1179"/>
    </row>
    <row r="23" spans="1:39" ht="16.5" customHeight="1" x14ac:dyDescent="0.25">
      <c r="A23" s="797">
        <f t="shared" ref="A23:A49" si="27">A22+1</f>
        <v>20</v>
      </c>
      <c r="B23" s="795">
        <f t="shared" si="0"/>
        <v>20.024390243902438</v>
      </c>
      <c r="C23" s="1302">
        <f>IF(MLF_LakTag1=7000,252,IF(MLF_LakTag1=9000,287,336))</f>
        <v>336</v>
      </c>
      <c r="D23" s="1302">
        <f t="shared" si="1"/>
        <v>0</v>
      </c>
      <c r="E23" s="1302" t="e">
        <f t="shared" si="2"/>
        <v>#VALUE!</v>
      </c>
      <c r="F23" s="147" t="e">
        <f t="shared" si="3"/>
        <v>#VALUE!</v>
      </c>
      <c r="G23" s="147" t="e">
        <f t="shared" si="4"/>
        <v>#VALUE!</v>
      </c>
      <c r="H23" s="147" t="e">
        <f t="shared" si="5"/>
        <v>#VALUE!</v>
      </c>
      <c r="I23" s="147" t="e">
        <f t="shared" si="6"/>
        <v>#DIV/0!</v>
      </c>
      <c r="J23" s="147">
        <f t="shared" si="7"/>
        <v>0</v>
      </c>
      <c r="K23" s="146" t="e">
        <f t="shared" ref="K23:K49" si="28">R23</f>
        <v>#VALUE!</v>
      </c>
      <c r="L23" s="1179" t="e">
        <f t="shared" si="8"/>
        <v>#VALUE!</v>
      </c>
      <c r="M23" s="140" t="e">
        <f t="shared" ref="M23:M49" si="29">R23</f>
        <v>#VALUE!</v>
      </c>
      <c r="N23" s="1181" t="e">
        <f t="shared" si="9"/>
        <v>#DIV/0!</v>
      </c>
      <c r="O23" s="1181" t="e">
        <f t="shared" si="10"/>
        <v>#VALUE!</v>
      </c>
      <c r="P23" s="1186" t="e">
        <f t="shared" si="11"/>
        <v>#VALUE!</v>
      </c>
      <c r="Q23" s="794" t="e">
        <f t="shared" si="12"/>
        <v>#VALUE!</v>
      </c>
      <c r="R23" s="1186" t="e">
        <f t="shared" si="13"/>
        <v>#VALUE!</v>
      </c>
      <c r="S23" s="1187" t="e">
        <f t="shared" si="14"/>
        <v>#VALUE!</v>
      </c>
      <c r="T23" s="1186" t="e">
        <f t="shared" si="15"/>
        <v>#VALUE!</v>
      </c>
      <c r="U23" s="1188" t="e">
        <f t="shared" si="16"/>
        <v>#VALUE!</v>
      </c>
      <c r="V23" s="140"/>
      <c r="W23" s="1192" t="e">
        <f t="shared" si="17"/>
        <v>#VALUE!</v>
      </c>
      <c r="X23" s="1192" t="e">
        <f t="shared" si="18"/>
        <v>#VALUE!</v>
      </c>
      <c r="Y23" s="1192" t="e">
        <f t="shared" si="19"/>
        <v>#VALUE!</v>
      </c>
      <c r="Z23" s="1192" t="e">
        <f t="shared" si="20"/>
        <v>#VALUE!</v>
      </c>
      <c r="AA23" s="1192" t="e">
        <f t="shared" si="21"/>
        <v>#VALUE!</v>
      </c>
      <c r="AB23" s="1192" t="e">
        <f t="shared" si="22"/>
        <v>#VALUE!</v>
      </c>
      <c r="AC23" s="1298" t="e">
        <f t="shared" si="23"/>
        <v>#VALUE!</v>
      </c>
      <c r="AD23" s="1171" t="e">
        <f t="shared" si="25"/>
        <v>#VALUE!</v>
      </c>
      <c r="AE23" s="1187" t="e">
        <f t="shared" si="24"/>
        <v>#VALUE!</v>
      </c>
      <c r="AF23" s="792" t="e">
        <f t="shared" si="26"/>
        <v>#DIV/0!</v>
      </c>
      <c r="AG23" s="142"/>
      <c r="AJ23" s="1179"/>
      <c r="AK23" s="1179"/>
      <c r="AL23" s="1179"/>
      <c r="AM23" s="1179"/>
    </row>
    <row r="24" spans="1:39" ht="16.5" customHeight="1" x14ac:dyDescent="0.25">
      <c r="A24" s="797">
        <f t="shared" si="27"/>
        <v>21</v>
      </c>
      <c r="B24" s="795">
        <f t="shared" si="0"/>
        <v>21.025609756097563</v>
      </c>
      <c r="C24" s="1302">
        <f>AVERAGE(C23,C25)</f>
        <v>336</v>
      </c>
      <c r="D24" s="1302">
        <f t="shared" si="1"/>
        <v>0.16961309624809218</v>
      </c>
      <c r="E24" s="1302" t="e">
        <f t="shared" si="2"/>
        <v>#VALUE!</v>
      </c>
      <c r="F24" s="147" t="e">
        <f t="shared" si="3"/>
        <v>#VALUE!</v>
      </c>
      <c r="G24" s="147" t="e">
        <f t="shared" si="4"/>
        <v>#VALUE!</v>
      </c>
      <c r="H24" s="147" t="e">
        <f t="shared" si="5"/>
        <v>#VALUE!</v>
      </c>
      <c r="I24" s="147" t="e">
        <f t="shared" si="6"/>
        <v>#DIV/0!</v>
      </c>
      <c r="J24" s="147">
        <f t="shared" si="7"/>
        <v>0</v>
      </c>
      <c r="K24" s="146" t="e">
        <f t="shared" si="28"/>
        <v>#VALUE!</v>
      </c>
      <c r="L24" s="1179" t="e">
        <f t="shared" si="8"/>
        <v>#VALUE!</v>
      </c>
      <c r="M24" s="140" t="e">
        <f t="shared" si="29"/>
        <v>#VALUE!</v>
      </c>
      <c r="N24" s="1181" t="e">
        <f t="shared" si="9"/>
        <v>#DIV/0!</v>
      </c>
      <c r="O24" s="1181" t="e">
        <f t="shared" si="10"/>
        <v>#VALUE!</v>
      </c>
      <c r="P24" s="1186" t="e">
        <f t="shared" si="11"/>
        <v>#VALUE!</v>
      </c>
      <c r="Q24" s="794" t="e">
        <f t="shared" si="12"/>
        <v>#VALUE!</v>
      </c>
      <c r="R24" s="1186" t="e">
        <f t="shared" si="13"/>
        <v>#VALUE!</v>
      </c>
      <c r="S24" s="1187" t="e">
        <f t="shared" si="14"/>
        <v>#VALUE!</v>
      </c>
      <c r="T24" s="1186" t="e">
        <f t="shared" si="15"/>
        <v>#VALUE!</v>
      </c>
      <c r="U24" s="1188" t="e">
        <f t="shared" si="16"/>
        <v>#VALUE!</v>
      </c>
      <c r="V24" s="140"/>
      <c r="W24" s="1192" t="e">
        <f t="shared" si="17"/>
        <v>#VALUE!</v>
      </c>
      <c r="X24" s="1192" t="e">
        <f t="shared" si="18"/>
        <v>#VALUE!</v>
      </c>
      <c r="Y24" s="1192" t="e">
        <f t="shared" si="19"/>
        <v>#VALUE!</v>
      </c>
      <c r="Z24" s="1192" t="e">
        <f t="shared" si="20"/>
        <v>#VALUE!</v>
      </c>
      <c r="AA24" s="1192" t="e">
        <f t="shared" si="21"/>
        <v>#VALUE!</v>
      </c>
      <c r="AB24" s="1192" t="e">
        <f t="shared" si="22"/>
        <v>#VALUE!</v>
      </c>
      <c r="AC24" s="1298" t="e">
        <f t="shared" si="23"/>
        <v>#VALUE!</v>
      </c>
      <c r="AD24" s="1171" t="e">
        <f t="shared" si="25"/>
        <v>#VALUE!</v>
      </c>
      <c r="AE24" s="1187" t="e">
        <f t="shared" si="24"/>
        <v>#VALUE!</v>
      </c>
      <c r="AF24" s="792" t="e">
        <f t="shared" si="26"/>
        <v>#DIV/0!</v>
      </c>
      <c r="AG24" s="142"/>
      <c r="AJ24" s="1179"/>
      <c r="AK24" s="1179"/>
      <c r="AL24" s="1179"/>
      <c r="AM24" s="1179"/>
    </row>
    <row r="25" spans="1:39" ht="16.5" customHeight="1" x14ac:dyDescent="0.25">
      <c r="A25" s="1203">
        <f t="shared" si="27"/>
        <v>22</v>
      </c>
      <c r="B25" s="1204">
        <f t="shared" si="0"/>
        <v>22.02682926829268</v>
      </c>
      <c r="C25" s="1302">
        <f>IF(MLF_LakTag1=7000,231,IF(MLF_LakTag1=9000,273,336))</f>
        <v>336</v>
      </c>
      <c r="D25" s="1302">
        <f t="shared" si="1"/>
        <v>0.45462292508164381</v>
      </c>
      <c r="E25" s="1302" t="e">
        <f t="shared" si="2"/>
        <v>#VALUE!</v>
      </c>
      <c r="F25" s="1205" t="e">
        <f t="shared" si="3"/>
        <v>#VALUE!</v>
      </c>
      <c r="G25" s="1205" t="e">
        <f t="shared" si="4"/>
        <v>#VALUE!</v>
      </c>
      <c r="H25" s="1205" t="e">
        <f t="shared" si="5"/>
        <v>#VALUE!</v>
      </c>
      <c r="I25" s="1205" t="e">
        <f t="shared" si="6"/>
        <v>#DIV/0!</v>
      </c>
      <c r="J25" s="1205">
        <f t="shared" si="7"/>
        <v>0</v>
      </c>
      <c r="K25" s="1206" t="e">
        <f t="shared" si="28"/>
        <v>#VALUE!</v>
      </c>
      <c r="L25" s="1207" t="e">
        <f t="shared" si="8"/>
        <v>#VALUE!</v>
      </c>
      <c r="M25" s="1208" t="e">
        <f t="shared" si="29"/>
        <v>#VALUE!</v>
      </c>
      <c r="N25" s="1209" t="e">
        <f t="shared" si="9"/>
        <v>#DIV/0!</v>
      </c>
      <c r="O25" s="1209" t="e">
        <f t="shared" si="10"/>
        <v>#VALUE!</v>
      </c>
      <c r="P25" s="1210" t="e">
        <f t="shared" si="11"/>
        <v>#VALUE!</v>
      </c>
      <c r="Q25" s="1211" t="e">
        <f t="shared" si="12"/>
        <v>#VALUE!</v>
      </c>
      <c r="R25" s="1210" t="e">
        <f t="shared" si="13"/>
        <v>#VALUE!</v>
      </c>
      <c r="S25" s="1212" t="e">
        <f t="shared" si="14"/>
        <v>#VALUE!</v>
      </c>
      <c r="T25" s="1210" t="e">
        <f t="shared" si="15"/>
        <v>#VALUE!</v>
      </c>
      <c r="U25" s="1213" t="e">
        <f t="shared" si="16"/>
        <v>#VALUE!</v>
      </c>
      <c r="V25" s="1208"/>
      <c r="W25" s="1214" t="e">
        <f t="shared" si="17"/>
        <v>#VALUE!</v>
      </c>
      <c r="X25" s="1214" t="e">
        <f t="shared" si="18"/>
        <v>#VALUE!</v>
      </c>
      <c r="Y25" s="1214" t="e">
        <f t="shared" si="19"/>
        <v>#VALUE!</v>
      </c>
      <c r="Z25" s="1214" t="e">
        <f t="shared" si="20"/>
        <v>#VALUE!</v>
      </c>
      <c r="AA25" s="1214" t="e">
        <f t="shared" si="21"/>
        <v>#VALUE!</v>
      </c>
      <c r="AB25" s="1214" t="e">
        <f t="shared" si="22"/>
        <v>#VALUE!</v>
      </c>
      <c r="AC25" s="1299" t="e">
        <f t="shared" si="23"/>
        <v>#VALUE!</v>
      </c>
      <c r="AD25" s="1215" t="e">
        <f t="shared" si="25"/>
        <v>#VALUE!</v>
      </c>
      <c r="AE25" s="1187" t="e">
        <f t="shared" si="24"/>
        <v>#VALUE!</v>
      </c>
      <c r="AF25" s="792" t="e">
        <f t="shared" si="26"/>
        <v>#DIV/0!</v>
      </c>
      <c r="AG25" s="143"/>
      <c r="AJ25" s="1179"/>
      <c r="AK25" s="1179"/>
      <c r="AL25" s="1179"/>
      <c r="AM25" s="1179"/>
    </row>
    <row r="26" spans="1:39" ht="16.5" customHeight="1" x14ac:dyDescent="0.25">
      <c r="A26" s="797">
        <f t="shared" si="27"/>
        <v>23</v>
      </c>
      <c r="B26" s="795">
        <f t="shared" si="0"/>
        <v>23.028048780487804</v>
      </c>
      <c r="C26" s="1302">
        <f>AVERAGE(C25,C27)</f>
        <v>336</v>
      </c>
      <c r="D26" s="1302">
        <f t="shared" si="1"/>
        <v>0.82814908135809873</v>
      </c>
      <c r="E26" s="1302" t="e">
        <f t="shared" si="2"/>
        <v>#VALUE!</v>
      </c>
      <c r="F26" s="147" t="e">
        <f t="shared" si="3"/>
        <v>#VALUE!</v>
      </c>
      <c r="G26" s="147" t="e">
        <f t="shared" si="4"/>
        <v>#VALUE!</v>
      </c>
      <c r="H26" s="147" t="e">
        <f t="shared" si="5"/>
        <v>#VALUE!</v>
      </c>
      <c r="I26" s="147" t="e">
        <f t="shared" si="6"/>
        <v>#DIV/0!</v>
      </c>
      <c r="J26" s="147">
        <f t="shared" si="7"/>
        <v>0</v>
      </c>
      <c r="K26" s="146" t="e">
        <f t="shared" si="28"/>
        <v>#VALUE!</v>
      </c>
      <c r="L26" s="1179" t="e">
        <f t="shared" si="8"/>
        <v>#VALUE!</v>
      </c>
      <c r="M26" s="140" t="e">
        <f t="shared" si="29"/>
        <v>#VALUE!</v>
      </c>
      <c r="N26" s="1181" t="e">
        <f t="shared" si="9"/>
        <v>#DIV/0!</v>
      </c>
      <c r="O26" s="1181" t="e">
        <f t="shared" si="10"/>
        <v>#VALUE!</v>
      </c>
      <c r="P26" s="1186" t="e">
        <f t="shared" si="11"/>
        <v>#VALUE!</v>
      </c>
      <c r="Q26" s="794" t="e">
        <f t="shared" si="12"/>
        <v>#VALUE!</v>
      </c>
      <c r="R26" s="1186" t="e">
        <f t="shared" si="13"/>
        <v>#VALUE!</v>
      </c>
      <c r="S26" s="1187" t="e">
        <f t="shared" si="14"/>
        <v>#VALUE!</v>
      </c>
      <c r="T26" s="1186" t="e">
        <f t="shared" si="15"/>
        <v>#VALUE!</v>
      </c>
      <c r="U26" s="1188" t="e">
        <f t="shared" si="16"/>
        <v>#VALUE!</v>
      </c>
      <c r="V26" s="140"/>
      <c r="W26" s="1192" t="e">
        <f t="shared" si="17"/>
        <v>#VALUE!</v>
      </c>
      <c r="X26" s="1192" t="e">
        <f t="shared" si="18"/>
        <v>#VALUE!</v>
      </c>
      <c r="Y26" s="1192" t="e">
        <f t="shared" si="19"/>
        <v>#VALUE!</v>
      </c>
      <c r="Z26" s="1192" t="e">
        <f t="shared" si="20"/>
        <v>#VALUE!</v>
      </c>
      <c r="AA26" s="1192" t="e">
        <f t="shared" si="21"/>
        <v>#VALUE!</v>
      </c>
      <c r="AB26" s="1192" t="e">
        <f t="shared" si="22"/>
        <v>#VALUE!</v>
      </c>
      <c r="AC26" s="1298" t="e">
        <f t="shared" si="23"/>
        <v>#VALUE!</v>
      </c>
      <c r="AD26" s="1171" t="e">
        <f t="shared" si="25"/>
        <v>#VALUE!</v>
      </c>
      <c r="AE26" s="1187" t="e">
        <f t="shared" si="24"/>
        <v>#VALUE!</v>
      </c>
      <c r="AF26" s="792" t="e">
        <f t="shared" si="26"/>
        <v>#DIV/0!</v>
      </c>
      <c r="AG26" s="142"/>
      <c r="AJ26" s="1179"/>
      <c r="AK26" s="1179"/>
      <c r="AL26" s="1179"/>
      <c r="AM26" s="1179"/>
    </row>
    <row r="27" spans="1:39" ht="16.5" customHeight="1" x14ac:dyDescent="0.25">
      <c r="A27" s="797">
        <f t="shared" si="27"/>
        <v>24</v>
      </c>
      <c r="B27" s="795">
        <f t="shared" si="0"/>
        <v>24.029268292682929</v>
      </c>
      <c r="C27" s="1302">
        <f>IF(MLF_LakTag1=7000,203,IF(MLF_LakTag1=9000,259,336))</f>
        <v>336</v>
      </c>
      <c r="D27" s="1302">
        <f t="shared" si="1"/>
        <v>1.2872329314436897</v>
      </c>
      <c r="E27" s="1302" t="e">
        <f t="shared" si="2"/>
        <v>#VALUE!</v>
      </c>
      <c r="F27" s="147" t="e">
        <f t="shared" si="3"/>
        <v>#VALUE!</v>
      </c>
      <c r="G27" s="147" t="e">
        <f t="shared" si="4"/>
        <v>#VALUE!</v>
      </c>
      <c r="H27" s="147" t="e">
        <f t="shared" si="5"/>
        <v>#VALUE!</v>
      </c>
      <c r="I27" s="147" t="e">
        <f t="shared" si="6"/>
        <v>#DIV/0!</v>
      </c>
      <c r="J27" s="147">
        <f t="shared" si="7"/>
        <v>0</v>
      </c>
      <c r="K27" s="146" t="e">
        <f t="shared" si="28"/>
        <v>#VALUE!</v>
      </c>
      <c r="L27" s="1179" t="e">
        <f t="shared" si="8"/>
        <v>#VALUE!</v>
      </c>
      <c r="M27" s="140" t="e">
        <f t="shared" si="29"/>
        <v>#VALUE!</v>
      </c>
      <c r="N27" s="1181" t="e">
        <f t="shared" si="9"/>
        <v>#DIV/0!</v>
      </c>
      <c r="O27" s="1181" t="e">
        <f t="shared" si="10"/>
        <v>#VALUE!</v>
      </c>
      <c r="P27" s="1186" t="e">
        <f t="shared" si="11"/>
        <v>#VALUE!</v>
      </c>
      <c r="Q27" s="794" t="e">
        <f t="shared" si="12"/>
        <v>#VALUE!</v>
      </c>
      <c r="R27" s="1186" t="e">
        <f t="shared" si="13"/>
        <v>#VALUE!</v>
      </c>
      <c r="S27" s="1187" t="e">
        <f t="shared" si="14"/>
        <v>#VALUE!</v>
      </c>
      <c r="T27" s="1186" t="e">
        <f t="shared" si="15"/>
        <v>#VALUE!</v>
      </c>
      <c r="U27" s="1188" t="e">
        <f t="shared" si="16"/>
        <v>#VALUE!</v>
      </c>
      <c r="V27" s="140"/>
      <c r="W27" s="1192" t="e">
        <f t="shared" si="17"/>
        <v>#VALUE!</v>
      </c>
      <c r="X27" s="1192" t="e">
        <f t="shared" si="18"/>
        <v>#VALUE!</v>
      </c>
      <c r="Y27" s="1192" t="e">
        <f t="shared" si="19"/>
        <v>#VALUE!</v>
      </c>
      <c r="Z27" s="1192" t="e">
        <f t="shared" si="20"/>
        <v>#VALUE!</v>
      </c>
      <c r="AA27" s="1192" t="e">
        <f t="shared" si="21"/>
        <v>#VALUE!</v>
      </c>
      <c r="AB27" s="1192" t="e">
        <f t="shared" si="22"/>
        <v>#VALUE!</v>
      </c>
      <c r="AC27" s="1298" t="e">
        <f t="shared" si="23"/>
        <v>#VALUE!</v>
      </c>
      <c r="AD27" s="1171" t="e">
        <f t="shared" si="25"/>
        <v>#VALUE!</v>
      </c>
      <c r="AE27" s="1187" t="e">
        <f t="shared" si="24"/>
        <v>#VALUE!</v>
      </c>
      <c r="AF27" s="792" t="e">
        <f t="shared" si="26"/>
        <v>#DIV/0!</v>
      </c>
      <c r="AG27" s="142"/>
      <c r="AJ27" s="1179"/>
      <c r="AK27" s="1179"/>
      <c r="AL27" s="1179"/>
      <c r="AM27" s="1179"/>
    </row>
    <row r="28" spans="1:39" ht="16.5" customHeight="1" x14ac:dyDescent="0.25">
      <c r="A28" s="797">
        <f t="shared" si="27"/>
        <v>25</v>
      </c>
      <c r="B28" s="795">
        <f t="shared" si="0"/>
        <v>25.030487804878049</v>
      </c>
      <c r="C28" s="1302">
        <f>AVERAGE(C27,C29)</f>
        <v>336</v>
      </c>
      <c r="D28" s="1302">
        <f t="shared" si="1"/>
        <v>1.825865974023877</v>
      </c>
      <c r="E28" s="1302" t="e">
        <f t="shared" si="2"/>
        <v>#VALUE!</v>
      </c>
      <c r="F28" s="147" t="e">
        <f t="shared" si="3"/>
        <v>#VALUE!</v>
      </c>
      <c r="G28" s="147" t="e">
        <f t="shared" si="4"/>
        <v>#VALUE!</v>
      </c>
      <c r="H28" s="147" t="e">
        <f t="shared" si="5"/>
        <v>#VALUE!</v>
      </c>
      <c r="I28" s="147" t="e">
        <f t="shared" si="6"/>
        <v>#DIV/0!</v>
      </c>
      <c r="J28" s="147">
        <f t="shared" si="7"/>
        <v>0</v>
      </c>
      <c r="K28" s="146" t="e">
        <f t="shared" si="28"/>
        <v>#VALUE!</v>
      </c>
      <c r="L28" s="1179" t="e">
        <f t="shared" si="8"/>
        <v>#VALUE!</v>
      </c>
      <c r="M28" s="140" t="e">
        <f t="shared" si="29"/>
        <v>#VALUE!</v>
      </c>
      <c r="N28" s="1181" t="e">
        <f t="shared" si="9"/>
        <v>#DIV/0!</v>
      </c>
      <c r="O28" s="1181" t="e">
        <f t="shared" si="10"/>
        <v>#VALUE!</v>
      </c>
      <c r="P28" s="1186" t="e">
        <f t="shared" si="11"/>
        <v>#VALUE!</v>
      </c>
      <c r="Q28" s="794" t="e">
        <f t="shared" si="12"/>
        <v>#VALUE!</v>
      </c>
      <c r="R28" s="1186" t="e">
        <f t="shared" si="13"/>
        <v>#VALUE!</v>
      </c>
      <c r="S28" s="1187" t="e">
        <f t="shared" si="14"/>
        <v>#VALUE!</v>
      </c>
      <c r="T28" s="1186" t="e">
        <f t="shared" si="15"/>
        <v>#VALUE!</v>
      </c>
      <c r="U28" s="1188" t="e">
        <f t="shared" si="16"/>
        <v>#VALUE!</v>
      </c>
      <c r="V28" s="140"/>
      <c r="W28" s="1192" t="e">
        <f t="shared" si="17"/>
        <v>#VALUE!</v>
      </c>
      <c r="X28" s="1192" t="e">
        <f t="shared" si="18"/>
        <v>#VALUE!</v>
      </c>
      <c r="Y28" s="1192" t="e">
        <f t="shared" si="19"/>
        <v>#VALUE!</v>
      </c>
      <c r="Z28" s="1192" t="e">
        <f t="shared" si="20"/>
        <v>#VALUE!</v>
      </c>
      <c r="AA28" s="1192" t="e">
        <f t="shared" si="21"/>
        <v>#VALUE!</v>
      </c>
      <c r="AB28" s="1192" t="e">
        <f t="shared" si="22"/>
        <v>#VALUE!</v>
      </c>
      <c r="AC28" s="1298" t="e">
        <f t="shared" si="23"/>
        <v>#VALUE!</v>
      </c>
      <c r="AD28" s="1171" t="e">
        <f t="shared" si="25"/>
        <v>#VALUE!</v>
      </c>
      <c r="AE28" s="1187" t="e">
        <f t="shared" si="24"/>
        <v>#VALUE!</v>
      </c>
      <c r="AF28" s="792" t="e">
        <f t="shared" si="26"/>
        <v>#DIV/0!</v>
      </c>
      <c r="AG28" s="142"/>
      <c r="AJ28" s="1179"/>
      <c r="AK28" s="1179"/>
      <c r="AL28" s="1179"/>
      <c r="AM28" s="1179"/>
    </row>
    <row r="29" spans="1:39" ht="16.5" customHeight="1" x14ac:dyDescent="0.25">
      <c r="A29" s="797">
        <f t="shared" si="27"/>
        <v>26</v>
      </c>
      <c r="B29" s="795">
        <f t="shared" si="0"/>
        <v>26.031707317073174</v>
      </c>
      <c r="C29" s="1302">
        <f>IF(MLF_LakTag1=7000,175,IF(MLF_LakTag1=9000,238,336))</f>
        <v>336</v>
      </c>
      <c r="D29" s="1302">
        <f t="shared" si="1"/>
        <v>2.4354183498357926</v>
      </c>
      <c r="E29" s="1302" t="e">
        <f t="shared" si="2"/>
        <v>#VALUE!</v>
      </c>
      <c r="F29" s="147" t="e">
        <f t="shared" si="3"/>
        <v>#VALUE!</v>
      </c>
      <c r="G29" s="147" t="e">
        <f t="shared" si="4"/>
        <v>#VALUE!</v>
      </c>
      <c r="H29" s="147" t="e">
        <f t="shared" si="5"/>
        <v>#VALUE!</v>
      </c>
      <c r="I29" s="147" t="e">
        <f t="shared" si="6"/>
        <v>#DIV/0!</v>
      </c>
      <c r="J29" s="147">
        <f t="shared" si="7"/>
        <v>0</v>
      </c>
      <c r="K29" s="146" t="e">
        <f t="shared" si="28"/>
        <v>#VALUE!</v>
      </c>
      <c r="L29" s="1179" t="e">
        <f t="shared" si="8"/>
        <v>#VALUE!</v>
      </c>
      <c r="M29" s="140" t="e">
        <f t="shared" si="29"/>
        <v>#VALUE!</v>
      </c>
      <c r="N29" s="1181" t="e">
        <f t="shared" si="9"/>
        <v>#DIV/0!</v>
      </c>
      <c r="O29" s="1181" t="e">
        <f t="shared" si="10"/>
        <v>#VALUE!</v>
      </c>
      <c r="P29" s="1186" t="e">
        <f t="shared" si="11"/>
        <v>#VALUE!</v>
      </c>
      <c r="Q29" s="794" t="e">
        <f t="shared" si="12"/>
        <v>#VALUE!</v>
      </c>
      <c r="R29" s="1186" t="e">
        <f t="shared" si="13"/>
        <v>#VALUE!</v>
      </c>
      <c r="S29" s="1187" t="e">
        <f t="shared" si="14"/>
        <v>#VALUE!</v>
      </c>
      <c r="T29" s="1186" t="e">
        <f t="shared" si="15"/>
        <v>#VALUE!</v>
      </c>
      <c r="U29" s="1188" t="e">
        <f t="shared" si="16"/>
        <v>#VALUE!</v>
      </c>
      <c r="V29" s="140"/>
      <c r="W29" s="1192" t="e">
        <f t="shared" si="17"/>
        <v>#VALUE!</v>
      </c>
      <c r="X29" s="1192" t="e">
        <f t="shared" si="18"/>
        <v>#VALUE!</v>
      </c>
      <c r="Y29" s="1192" t="e">
        <f t="shared" si="19"/>
        <v>#VALUE!</v>
      </c>
      <c r="Z29" s="1192" t="e">
        <f t="shared" si="20"/>
        <v>#VALUE!</v>
      </c>
      <c r="AA29" s="1192" t="e">
        <f t="shared" si="21"/>
        <v>#VALUE!</v>
      </c>
      <c r="AB29" s="1192" t="e">
        <f t="shared" si="22"/>
        <v>#VALUE!</v>
      </c>
      <c r="AC29" s="1298" t="e">
        <f t="shared" si="23"/>
        <v>#VALUE!</v>
      </c>
      <c r="AD29" s="1171" t="e">
        <f t="shared" si="25"/>
        <v>#VALUE!</v>
      </c>
      <c r="AE29" s="1187" t="e">
        <f t="shared" si="24"/>
        <v>#VALUE!</v>
      </c>
      <c r="AF29" s="792" t="e">
        <f t="shared" si="26"/>
        <v>#DIV/0!</v>
      </c>
      <c r="AG29" s="142"/>
      <c r="AJ29" s="1179"/>
      <c r="AK29" s="1179"/>
      <c r="AL29" s="1179"/>
      <c r="AM29" s="1179"/>
    </row>
    <row r="30" spans="1:39" ht="16.5" customHeight="1" x14ac:dyDescent="0.25">
      <c r="A30" s="1203">
        <f t="shared" si="27"/>
        <v>27</v>
      </c>
      <c r="B30" s="1204">
        <f t="shared" si="0"/>
        <v>27.032926829268291</v>
      </c>
      <c r="C30" s="1302">
        <f>AVERAGE(C29,C31)</f>
        <v>332.5</v>
      </c>
      <c r="D30" s="1302">
        <f t="shared" si="1"/>
        <v>3.1050673514000025</v>
      </c>
      <c r="E30" s="1302" t="e">
        <f t="shared" si="2"/>
        <v>#VALUE!</v>
      </c>
      <c r="F30" s="1205" t="e">
        <f t="shared" si="3"/>
        <v>#VALUE!</v>
      </c>
      <c r="G30" s="1205" t="e">
        <f t="shared" si="4"/>
        <v>#VALUE!</v>
      </c>
      <c r="H30" s="1205" t="e">
        <f t="shared" si="5"/>
        <v>#VALUE!</v>
      </c>
      <c r="I30" s="1205" t="e">
        <f t="shared" si="6"/>
        <v>#DIV/0!</v>
      </c>
      <c r="J30" s="1205">
        <f t="shared" si="7"/>
        <v>0</v>
      </c>
      <c r="K30" s="1206" t="e">
        <f t="shared" si="28"/>
        <v>#VALUE!</v>
      </c>
      <c r="L30" s="1207" t="e">
        <f t="shared" si="8"/>
        <v>#VALUE!</v>
      </c>
      <c r="M30" s="1208" t="e">
        <f t="shared" si="29"/>
        <v>#VALUE!</v>
      </c>
      <c r="N30" s="1209" t="e">
        <f t="shared" si="9"/>
        <v>#DIV/0!</v>
      </c>
      <c r="O30" s="1209" t="e">
        <f t="shared" si="10"/>
        <v>#VALUE!</v>
      </c>
      <c r="P30" s="1210" t="e">
        <f t="shared" si="11"/>
        <v>#VALUE!</v>
      </c>
      <c r="Q30" s="1211" t="e">
        <f t="shared" si="12"/>
        <v>#VALUE!</v>
      </c>
      <c r="R30" s="1210" t="e">
        <f t="shared" si="13"/>
        <v>#VALUE!</v>
      </c>
      <c r="S30" s="1212" t="e">
        <f t="shared" si="14"/>
        <v>#VALUE!</v>
      </c>
      <c r="T30" s="1210" t="e">
        <f t="shared" si="15"/>
        <v>#VALUE!</v>
      </c>
      <c r="U30" s="1213" t="e">
        <f t="shared" si="16"/>
        <v>#VALUE!</v>
      </c>
      <c r="V30" s="1208"/>
      <c r="W30" s="1214" t="e">
        <f t="shared" si="17"/>
        <v>#VALUE!</v>
      </c>
      <c r="X30" s="1214" t="e">
        <f t="shared" si="18"/>
        <v>#VALUE!</v>
      </c>
      <c r="Y30" s="1214" t="e">
        <f t="shared" si="19"/>
        <v>#VALUE!</v>
      </c>
      <c r="Z30" s="1214" t="e">
        <f t="shared" si="20"/>
        <v>#VALUE!</v>
      </c>
      <c r="AA30" s="1214" t="e">
        <f t="shared" si="21"/>
        <v>#VALUE!</v>
      </c>
      <c r="AB30" s="1214" t="e">
        <f t="shared" si="22"/>
        <v>#VALUE!</v>
      </c>
      <c r="AC30" s="1299" t="e">
        <f t="shared" si="23"/>
        <v>#VALUE!</v>
      </c>
      <c r="AD30" s="1215" t="e">
        <f t="shared" si="25"/>
        <v>#VALUE!</v>
      </c>
      <c r="AE30" s="1187" t="e">
        <f t="shared" si="24"/>
        <v>#VALUE!</v>
      </c>
      <c r="AF30" s="792" t="e">
        <f t="shared" si="26"/>
        <v>#DIV/0!</v>
      </c>
      <c r="AG30" s="143"/>
      <c r="AJ30" s="1179"/>
      <c r="AK30" s="1179"/>
      <c r="AL30" s="1179"/>
      <c r="AM30" s="1179"/>
    </row>
    <row r="31" spans="1:39" ht="16.5" customHeight="1" x14ac:dyDescent="0.25">
      <c r="A31" s="797">
        <f t="shared" si="27"/>
        <v>28</v>
      </c>
      <c r="B31" s="795">
        <f t="shared" si="0"/>
        <v>28.034146341463416</v>
      </c>
      <c r="C31" s="1302">
        <f>IF(MLF_LakTag1=7000,140,IF(MLF_LakTag1=9000,217,329))</f>
        <v>329</v>
      </c>
      <c r="D31" s="1302">
        <f t="shared" si="1"/>
        <v>3.8222259327522963</v>
      </c>
      <c r="E31" s="1302" t="e">
        <f t="shared" si="2"/>
        <v>#VALUE!</v>
      </c>
      <c r="F31" s="147" t="e">
        <f t="shared" si="3"/>
        <v>#VALUE!</v>
      </c>
      <c r="G31" s="147" t="e">
        <f t="shared" si="4"/>
        <v>#VALUE!</v>
      </c>
      <c r="H31" s="147" t="e">
        <f t="shared" si="5"/>
        <v>#VALUE!</v>
      </c>
      <c r="I31" s="147" t="e">
        <f t="shared" si="6"/>
        <v>#DIV/0!</v>
      </c>
      <c r="J31" s="147">
        <f t="shared" si="7"/>
        <v>0</v>
      </c>
      <c r="K31" s="146" t="e">
        <f t="shared" si="28"/>
        <v>#VALUE!</v>
      </c>
      <c r="L31" s="1179" t="e">
        <f t="shared" si="8"/>
        <v>#VALUE!</v>
      </c>
      <c r="M31" s="140" t="e">
        <f t="shared" si="29"/>
        <v>#VALUE!</v>
      </c>
      <c r="N31" s="1181" t="e">
        <f t="shared" si="9"/>
        <v>#DIV/0!</v>
      </c>
      <c r="O31" s="1181" t="e">
        <f t="shared" si="10"/>
        <v>#VALUE!</v>
      </c>
      <c r="P31" s="1186" t="e">
        <f t="shared" si="11"/>
        <v>#VALUE!</v>
      </c>
      <c r="Q31" s="794" t="e">
        <f t="shared" si="12"/>
        <v>#VALUE!</v>
      </c>
      <c r="R31" s="1186" t="e">
        <f t="shared" si="13"/>
        <v>#VALUE!</v>
      </c>
      <c r="S31" s="1187" t="e">
        <f t="shared" si="14"/>
        <v>#VALUE!</v>
      </c>
      <c r="T31" s="1186" t="e">
        <f t="shared" si="15"/>
        <v>#VALUE!</v>
      </c>
      <c r="U31" s="1188" t="e">
        <f t="shared" si="16"/>
        <v>#VALUE!</v>
      </c>
      <c r="V31" s="140"/>
      <c r="W31" s="1192" t="e">
        <f t="shared" si="17"/>
        <v>#VALUE!</v>
      </c>
      <c r="X31" s="1192" t="e">
        <f t="shared" si="18"/>
        <v>#VALUE!</v>
      </c>
      <c r="Y31" s="1192" t="e">
        <f t="shared" si="19"/>
        <v>#VALUE!</v>
      </c>
      <c r="Z31" s="1192" t="e">
        <f t="shared" si="20"/>
        <v>#VALUE!</v>
      </c>
      <c r="AA31" s="1192" t="e">
        <f t="shared" si="21"/>
        <v>#VALUE!</v>
      </c>
      <c r="AB31" s="1192" t="e">
        <f t="shared" si="22"/>
        <v>#VALUE!</v>
      </c>
      <c r="AC31" s="1298" t="e">
        <f t="shared" si="23"/>
        <v>#VALUE!</v>
      </c>
      <c r="AD31" s="1171" t="e">
        <f t="shared" si="25"/>
        <v>#VALUE!</v>
      </c>
      <c r="AE31" s="1187" t="e">
        <f t="shared" si="24"/>
        <v>#VALUE!</v>
      </c>
      <c r="AF31" s="792" t="e">
        <f t="shared" si="26"/>
        <v>#DIV/0!</v>
      </c>
      <c r="AG31" s="142"/>
      <c r="AJ31" s="1179"/>
      <c r="AK31" s="1179"/>
      <c r="AL31" s="1179"/>
      <c r="AM31" s="1179"/>
    </row>
    <row r="32" spans="1:39" ht="16.5" customHeight="1" x14ac:dyDescent="0.25">
      <c r="A32" s="797">
        <f t="shared" si="27"/>
        <v>29</v>
      </c>
      <c r="B32" s="795">
        <f t="shared" si="0"/>
        <v>29.035365853658536</v>
      </c>
      <c r="C32" s="1302">
        <f>AVERAGE(C31,C33)</f>
        <v>322</v>
      </c>
      <c r="D32" s="1302">
        <f t="shared" si="1"/>
        <v>4.5729712191768144</v>
      </c>
      <c r="E32" s="1302" t="e">
        <f t="shared" si="2"/>
        <v>#VALUE!</v>
      </c>
      <c r="F32" s="147" t="e">
        <f t="shared" si="3"/>
        <v>#VALUE!</v>
      </c>
      <c r="G32" s="147" t="e">
        <f t="shared" si="4"/>
        <v>#VALUE!</v>
      </c>
      <c r="H32" s="147" t="e">
        <f t="shared" si="5"/>
        <v>#VALUE!</v>
      </c>
      <c r="I32" s="147" t="e">
        <f t="shared" si="6"/>
        <v>#DIV/0!</v>
      </c>
      <c r="J32" s="147">
        <f t="shared" si="7"/>
        <v>0</v>
      </c>
      <c r="K32" s="146" t="e">
        <f t="shared" si="28"/>
        <v>#VALUE!</v>
      </c>
      <c r="L32" s="1179" t="e">
        <f t="shared" si="8"/>
        <v>#VALUE!</v>
      </c>
      <c r="M32" s="140" t="e">
        <f t="shared" si="29"/>
        <v>#VALUE!</v>
      </c>
      <c r="N32" s="1181" t="e">
        <f t="shared" si="9"/>
        <v>#DIV/0!</v>
      </c>
      <c r="O32" s="1181" t="e">
        <f t="shared" si="10"/>
        <v>#VALUE!</v>
      </c>
      <c r="P32" s="1186" t="e">
        <f t="shared" si="11"/>
        <v>#VALUE!</v>
      </c>
      <c r="Q32" s="794" t="e">
        <f t="shared" si="12"/>
        <v>#VALUE!</v>
      </c>
      <c r="R32" s="1186" t="e">
        <f t="shared" si="13"/>
        <v>#VALUE!</v>
      </c>
      <c r="S32" s="1187" t="e">
        <f t="shared" si="14"/>
        <v>#VALUE!</v>
      </c>
      <c r="T32" s="1186" t="e">
        <f t="shared" si="15"/>
        <v>#VALUE!</v>
      </c>
      <c r="U32" s="1188" t="e">
        <f t="shared" si="16"/>
        <v>#VALUE!</v>
      </c>
      <c r="V32" s="140"/>
      <c r="W32" s="1192" t="e">
        <f t="shared" si="17"/>
        <v>#VALUE!</v>
      </c>
      <c r="X32" s="1192" t="e">
        <f t="shared" si="18"/>
        <v>#VALUE!</v>
      </c>
      <c r="Y32" s="1192" t="e">
        <f t="shared" si="19"/>
        <v>#VALUE!</v>
      </c>
      <c r="Z32" s="1192" t="e">
        <f t="shared" si="20"/>
        <v>#VALUE!</v>
      </c>
      <c r="AA32" s="1192" t="e">
        <f t="shared" si="21"/>
        <v>#VALUE!</v>
      </c>
      <c r="AB32" s="1192" t="e">
        <f t="shared" si="22"/>
        <v>#VALUE!</v>
      </c>
      <c r="AC32" s="1298" t="e">
        <f t="shared" si="23"/>
        <v>#VALUE!</v>
      </c>
      <c r="AD32" s="1171" t="e">
        <f t="shared" si="25"/>
        <v>#VALUE!</v>
      </c>
      <c r="AE32" s="1187" t="e">
        <f t="shared" si="24"/>
        <v>#VALUE!</v>
      </c>
      <c r="AF32" s="792" t="e">
        <f t="shared" si="26"/>
        <v>#DIV/0!</v>
      </c>
      <c r="AG32" s="142"/>
      <c r="AJ32" s="1179"/>
      <c r="AK32" s="1179"/>
      <c r="AL32" s="1179"/>
      <c r="AM32" s="1179"/>
    </row>
    <row r="33" spans="1:39" ht="16.5" customHeight="1" x14ac:dyDescent="0.25">
      <c r="A33" s="797">
        <f t="shared" si="27"/>
        <v>30</v>
      </c>
      <c r="B33" s="795">
        <f t="shared" si="0"/>
        <v>30.036585365853661</v>
      </c>
      <c r="C33" s="1302">
        <f>IF(MLF_LakTag1=7000,119,IF(MLF_LakTag1=9000,189,315))</f>
        <v>315</v>
      </c>
      <c r="D33" s="1302">
        <f t="shared" si="1"/>
        <v>5.3424730169372125</v>
      </c>
      <c r="E33" s="1302" t="e">
        <f t="shared" si="2"/>
        <v>#VALUE!</v>
      </c>
      <c r="F33" s="147" t="e">
        <f t="shared" si="3"/>
        <v>#VALUE!</v>
      </c>
      <c r="G33" s="147" t="e">
        <f t="shared" si="4"/>
        <v>#VALUE!</v>
      </c>
      <c r="H33" s="147" t="e">
        <f t="shared" si="5"/>
        <v>#VALUE!</v>
      </c>
      <c r="I33" s="147" t="e">
        <f t="shared" si="6"/>
        <v>#DIV/0!</v>
      </c>
      <c r="J33" s="147">
        <f t="shared" si="7"/>
        <v>0</v>
      </c>
      <c r="K33" s="146" t="e">
        <f t="shared" si="28"/>
        <v>#VALUE!</v>
      </c>
      <c r="L33" s="1179" t="e">
        <f t="shared" si="8"/>
        <v>#VALUE!</v>
      </c>
      <c r="M33" s="140" t="e">
        <f t="shared" si="29"/>
        <v>#VALUE!</v>
      </c>
      <c r="N33" s="1181" t="e">
        <f t="shared" ref="N33:N49" si="30">I33+J33*INDEX(Tabelle,MLF_AF_Art1,2)/1000+L33*INDEX(Tabelle,MLF_Art_1,2)/1000</f>
        <v>#DIV/0!</v>
      </c>
      <c r="O33" s="1181" t="e">
        <f t="shared" si="10"/>
        <v>#VALUE!</v>
      </c>
      <c r="P33" s="1186" t="e">
        <f t="shared" si="11"/>
        <v>#VALUE!</v>
      </c>
      <c r="Q33" s="794" t="e">
        <f t="shared" si="12"/>
        <v>#VALUE!</v>
      </c>
      <c r="R33" s="1186" t="e">
        <f t="shared" si="13"/>
        <v>#VALUE!</v>
      </c>
      <c r="S33" s="1187" t="e">
        <f t="shared" si="14"/>
        <v>#VALUE!</v>
      </c>
      <c r="T33" s="1186" t="e">
        <f t="shared" si="15"/>
        <v>#VALUE!</v>
      </c>
      <c r="U33" s="1188" t="e">
        <f t="shared" si="16"/>
        <v>#VALUE!</v>
      </c>
      <c r="V33" s="140"/>
      <c r="W33" s="1192" t="e">
        <f t="shared" si="17"/>
        <v>#VALUE!</v>
      </c>
      <c r="X33" s="1192" t="e">
        <f t="shared" si="18"/>
        <v>#VALUE!</v>
      </c>
      <c r="Y33" s="1192" t="e">
        <f t="shared" si="19"/>
        <v>#VALUE!</v>
      </c>
      <c r="Z33" s="1192" t="e">
        <f t="shared" si="20"/>
        <v>#VALUE!</v>
      </c>
      <c r="AA33" s="1192" t="e">
        <f t="shared" si="21"/>
        <v>#VALUE!</v>
      </c>
      <c r="AB33" s="1192" t="e">
        <f t="shared" si="22"/>
        <v>#VALUE!</v>
      </c>
      <c r="AC33" s="1298" t="e">
        <f t="shared" si="23"/>
        <v>#VALUE!</v>
      </c>
      <c r="AD33" s="1171" t="e">
        <f t="shared" si="25"/>
        <v>#VALUE!</v>
      </c>
      <c r="AE33" s="1187" t="e">
        <f t="shared" si="24"/>
        <v>#VALUE!</v>
      </c>
      <c r="AF33" s="792" t="e">
        <f t="shared" si="26"/>
        <v>#DIV/0!</v>
      </c>
      <c r="AG33" s="142"/>
      <c r="AJ33" s="1179"/>
      <c r="AK33" s="1179"/>
      <c r="AL33" s="1179"/>
      <c r="AM33" s="1179"/>
    </row>
    <row r="34" spans="1:39" ht="16.5" customHeight="1" x14ac:dyDescent="0.25">
      <c r="A34" s="797">
        <f t="shared" si="27"/>
        <v>31</v>
      </c>
      <c r="B34" s="795">
        <f t="shared" si="0"/>
        <v>31.037804878048778</v>
      </c>
      <c r="C34" s="1302">
        <f>AVERAGE(C33,C35)</f>
        <v>304.5</v>
      </c>
      <c r="D34" s="1302">
        <f t="shared" si="1"/>
        <v>6.1154223230091347</v>
      </c>
      <c r="E34" s="1302" t="e">
        <f t="shared" si="2"/>
        <v>#VALUE!</v>
      </c>
      <c r="F34" s="147" t="e">
        <f t="shared" si="3"/>
        <v>#VALUE!</v>
      </c>
      <c r="G34" s="147" t="e">
        <f t="shared" si="4"/>
        <v>#VALUE!</v>
      </c>
      <c r="H34" s="147" t="e">
        <f t="shared" si="5"/>
        <v>#VALUE!</v>
      </c>
      <c r="I34" s="147" t="e">
        <f t="shared" si="6"/>
        <v>#DIV/0!</v>
      </c>
      <c r="J34" s="147">
        <f t="shared" si="7"/>
        <v>0</v>
      </c>
      <c r="K34" s="146" t="e">
        <f t="shared" si="28"/>
        <v>#VALUE!</v>
      </c>
      <c r="L34" s="1179" t="e">
        <f t="shared" si="8"/>
        <v>#VALUE!</v>
      </c>
      <c r="M34" s="140" t="e">
        <f t="shared" si="29"/>
        <v>#VALUE!</v>
      </c>
      <c r="N34" s="1181" t="e">
        <f t="shared" si="30"/>
        <v>#DIV/0!</v>
      </c>
      <c r="O34" s="1181" t="e">
        <f t="shared" si="10"/>
        <v>#VALUE!</v>
      </c>
      <c r="P34" s="1186" t="e">
        <f t="shared" si="11"/>
        <v>#VALUE!</v>
      </c>
      <c r="Q34" s="794" t="e">
        <f t="shared" si="12"/>
        <v>#VALUE!</v>
      </c>
      <c r="R34" s="1186" t="e">
        <f t="shared" si="13"/>
        <v>#VALUE!</v>
      </c>
      <c r="S34" s="1187" t="e">
        <f t="shared" si="14"/>
        <v>#VALUE!</v>
      </c>
      <c r="T34" s="1186" t="e">
        <f t="shared" si="15"/>
        <v>#VALUE!</v>
      </c>
      <c r="U34" s="1188" t="e">
        <f t="shared" si="16"/>
        <v>#VALUE!</v>
      </c>
      <c r="V34" s="140"/>
      <c r="W34" s="1192" t="e">
        <f t="shared" si="17"/>
        <v>#VALUE!</v>
      </c>
      <c r="X34" s="1192" t="e">
        <f t="shared" si="18"/>
        <v>#VALUE!</v>
      </c>
      <c r="Y34" s="1192" t="e">
        <f t="shared" si="19"/>
        <v>#VALUE!</v>
      </c>
      <c r="Z34" s="1192" t="e">
        <f t="shared" si="20"/>
        <v>#VALUE!</v>
      </c>
      <c r="AA34" s="1192" t="e">
        <f t="shared" si="21"/>
        <v>#VALUE!</v>
      </c>
      <c r="AB34" s="1192" t="e">
        <f t="shared" si="22"/>
        <v>#VALUE!</v>
      </c>
      <c r="AC34" s="1298" t="e">
        <f t="shared" si="23"/>
        <v>#VALUE!</v>
      </c>
      <c r="AD34" s="1171" t="e">
        <f t="shared" si="25"/>
        <v>#VALUE!</v>
      </c>
      <c r="AE34" s="1187" t="e">
        <f t="shared" si="24"/>
        <v>#VALUE!</v>
      </c>
      <c r="AF34" s="792" t="e">
        <f t="shared" si="26"/>
        <v>#DIV/0!</v>
      </c>
      <c r="AG34" s="142"/>
      <c r="AJ34" s="1179"/>
      <c r="AK34" s="1179"/>
      <c r="AL34" s="1179"/>
      <c r="AM34" s="1179"/>
    </row>
    <row r="35" spans="1:39" ht="16.5" customHeight="1" x14ac:dyDescent="0.25">
      <c r="A35" s="1203">
        <f t="shared" si="27"/>
        <v>32</v>
      </c>
      <c r="B35" s="1204">
        <f t="shared" si="0"/>
        <v>32.039024390243902</v>
      </c>
      <c r="C35" s="1302">
        <f>IF(MLF_LakTag1=7000,98,IF(MLF_LakTag1=9000,154,294))</f>
        <v>294</v>
      </c>
      <c r="D35" s="1302">
        <f t="shared" si="1"/>
        <v>6.8764598348120316</v>
      </c>
      <c r="E35" s="1302" t="e">
        <f t="shared" si="2"/>
        <v>#VALUE!</v>
      </c>
      <c r="F35" s="1205" t="e">
        <f t="shared" si="3"/>
        <v>#VALUE!</v>
      </c>
      <c r="G35" s="1205" t="e">
        <f t="shared" si="4"/>
        <v>#VALUE!</v>
      </c>
      <c r="H35" s="1205" t="e">
        <f t="shared" si="5"/>
        <v>#VALUE!</v>
      </c>
      <c r="I35" s="1205" t="e">
        <f t="shared" si="6"/>
        <v>#DIV/0!</v>
      </c>
      <c r="J35" s="1205">
        <f t="shared" si="7"/>
        <v>0</v>
      </c>
      <c r="K35" s="1206" t="e">
        <f t="shared" si="28"/>
        <v>#VALUE!</v>
      </c>
      <c r="L35" s="1207" t="e">
        <f t="shared" si="8"/>
        <v>#VALUE!</v>
      </c>
      <c r="M35" s="1208" t="e">
        <f t="shared" si="29"/>
        <v>#VALUE!</v>
      </c>
      <c r="N35" s="1209" t="e">
        <f t="shared" si="30"/>
        <v>#DIV/0!</v>
      </c>
      <c r="O35" s="1209" t="e">
        <f t="shared" si="10"/>
        <v>#VALUE!</v>
      </c>
      <c r="P35" s="1210" t="e">
        <f t="shared" si="11"/>
        <v>#VALUE!</v>
      </c>
      <c r="Q35" s="1211" t="e">
        <f t="shared" si="12"/>
        <v>#VALUE!</v>
      </c>
      <c r="R35" s="1210" t="e">
        <f t="shared" si="13"/>
        <v>#VALUE!</v>
      </c>
      <c r="S35" s="1212" t="e">
        <f t="shared" si="14"/>
        <v>#VALUE!</v>
      </c>
      <c r="T35" s="1210" t="e">
        <f t="shared" si="15"/>
        <v>#VALUE!</v>
      </c>
      <c r="U35" s="1213" t="e">
        <f t="shared" si="16"/>
        <v>#VALUE!</v>
      </c>
      <c r="V35" s="1208"/>
      <c r="W35" s="1214" t="e">
        <f t="shared" si="17"/>
        <v>#VALUE!</v>
      </c>
      <c r="X35" s="1214" t="e">
        <f t="shared" si="18"/>
        <v>#VALUE!</v>
      </c>
      <c r="Y35" s="1214" t="e">
        <f t="shared" si="19"/>
        <v>#VALUE!</v>
      </c>
      <c r="Z35" s="1214" t="e">
        <f t="shared" si="20"/>
        <v>#VALUE!</v>
      </c>
      <c r="AA35" s="1214" t="e">
        <f t="shared" si="21"/>
        <v>#VALUE!</v>
      </c>
      <c r="AB35" s="1214" t="e">
        <f t="shared" si="22"/>
        <v>#VALUE!</v>
      </c>
      <c r="AC35" s="1299" t="e">
        <f t="shared" si="23"/>
        <v>#VALUE!</v>
      </c>
      <c r="AD35" s="1215" t="e">
        <f t="shared" si="25"/>
        <v>#VALUE!</v>
      </c>
      <c r="AE35" s="1187" t="e">
        <f t="shared" si="24"/>
        <v>#VALUE!</v>
      </c>
      <c r="AF35" s="792" t="e">
        <f t="shared" si="26"/>
        <v>#DIV/0!</v>
      </c>
      <c r="AG35" s="143"/>
      <c r="AJ35" s="1179"/>
      <c r="AK35" s="1179"/>
      <c r="AL35" s="1179"/>
      <c r="AM35" s="1179"/>
    </row>
    <row r="36" spans="1:39" ht="16.5" customHeight="1" x14ac:dyDescent="0.25">
      <c r="A36" s="797">
        <f t="shared" si="27"/>
        <v>33</v>
      </c>
      <c r="B36" s="795">
        <f t="shared" si="0"/>
        <v>33.040243902439023</v>
      </c>
      <c r="C36" s="1302">
        <f>AVERAGE(C35,C37)</f>
        <v>280</v>
      </c>
      <c r="D36" s="1302">
        <f t="shared" si="1"/>
        <v>7.6106044599417473</v>
      </c>
      <c r="E36" s="1302" t="e">
        <f t="shared" si="2"/>
        <v>#VALUE!</v>
      </c>
      <c r="F36" s="147" t="e">
        <f t="shared" si="3"/>
        <v>#VALUE!</v>
      </c>
      <c r="G36" s="147" t="e">
        <f t="shared" si="4"/>
        <v>#VALUE!</v>
      </c>
      <c r="H36" s="147" t="e">
        <f t="shared" si="5"/>
        <v>#VALUE!</v>
      </c>
      <c r="I36" s="147" t="e">
        <f t="shared" si="6"/>
        <v>#DIV/0!</v>
      </c>
      <c r="J36" s="147">
        <f t="shared" si="7"/>
        <v>0</v>
      </c>
      <c r="K36" s="146" t="e">
        <f t="shared" si="28"/>
        <v>#VALUE!</v>
      </c>
      <c r="L36" s="1179" t="e">
        <f t="shared" si="8"/>
        <v>#VALUE!</v>
      </c>
      <c r="M36" s="140" t="e">
        <f t="shared" si="29"/>
        <v>#VALUE!</v>
      </c>
      <c r="N36" s="1181" t="e">
        <f t="shared" si="30"/>
        <v>#DIV/0!</v>
      </c>
      <c r="O36" s="1181" t="e">
        <f t="shared" si="10"/>
        <v>#VALUE!</v>
      </c>
      <c r="P36" s="1186" t="e">
        <f t="shared" si="11"/>
        <v>#VALUE!</v>
      </c>
      <c r="Q36" s="794" t="e">
        <f t="shared" si="12"/>
        <v>#VALUE!</v>
      </c>
      <c r="R36" s="1186" t="e">
        <f t="shared" si="13"/>
        <v>#VALUE!</v>
      </c>
      <c r="S36" s="1187" t="e">
        <f t="shared" si="14"/>
        <v>#VALUE!</v>
      </c>
      <c r="T36" s="1186" t="e">
        <f t="shared" si="15"/>
        <v>#VALUE!</v>
      </c>
      <c r="U36" s="1188" t="e">
        <f t="shared" si="16"/>
        <v>#VALUE!</v>
      </c>
      <c r="V36" s="140"/>
      <c r="W36" s="1192" t="e">
        <f t="shared" si="17"/>
        <v>#VALUE!</v>
      </c>
      <c r="X36" s="1192" t="e">
        <f t="shared" si="18"/>
        <v>#VALUE!</v>
      </c>
      <c r="Y36" s="1192" t="e">
        <f t="shared" si="19"/>
        <v>#VALUE!</v>
      </c>
      <c r="Z36" s="1192" t="e">
        <f t="shared" si="20"/>
        <v>#VALUE!</v>
      </c>
      <c r="AA36" s="1192" t="e">
        <f t="shared" si="21"/>
        <v>#VALUE!</v>
      </c>
      <c r="AB36" s="1192" t="e">
        <f t="shared" si="22"/>
        <v>#VALUE!</v>
      </c>
      <c r="AC36" s="1298" t="e">
        <f t="shared" si="23"/>
        <v>#VALUE!</v>
      </c>
      <c r="AD36" s="1171" t="e">
        <f t="shared" si="25"/>
        <v>#VALUE!</v>
      </c>
      <c r="AE36" s="1187" t="e">
        <f t="shared" si="24"/>
        <v>#VALUE!</v>
      </c>
      <c r="AF36" s="792" t="e">
        <f t="shared" si="26"/>
        <v>#DIV/0!</v>
      </c>
      <c r="AG36" s="142"/>
      <c r="AJ36" s="1179"/>
      <c r="AK36" s="1179"/>
      <c r="AL36" s="1179"/>
      <c r="AM36" s="1179"/>
    </row>
    <row r="37" spans="1:39" ht="16.5" customHeight="1" x14ac:dyDescent="0.25">
      <c r="A37" s="797">
        <f t="shared" si="27"/>
        <v>34</v>
      </c>
      <c r="B37" s="795">
        <f t="shared" si="0"/>
        <v>34.041463414634144</v>
      </c>
      <c r="C37" s="1302">
        <f>IF(MLF_LakTag1=7000,77,IF(MLF_LakTag1=9000,126,266))</f>
        <v>266</v>
      </c>
      <c r="D37" s="1302">
        <f t="shared" si="1"/>
        <v>8.303681825902423</v>
      </c>
      <c r="E37" s="1302" t="e">
        <f t="shared" si="2"/>
        <v>#VALUE!</v>
      </c>
      <c r="F37" s="147" t="e">
        <f t="shared" si="3"/>
        <v>#VALUE!</v>
      </c>
      <c r="G37" s="147" t="e">
        <f t="shared" si="4"/>
        <v>#VALUE!</v>
      </c>
      <c r="H37" s="147" t="e">
        <f t="shared" si="5"/>
        <v>#VALUE!</v>
      </c>
      <c r="I37" s="147" t="e">
        <f t="shared" si="6"/>
        <v>#DIV/0!</v>
      </c>
      <c r="J37" s="147">
        <f t="shared" si="7"/>
        <v>0</v>
      </c>
      <c r="K37" s="146" t="e">
        <f t="shared" si="28"/>
        <v>#VALUE!</v>
      </c>
      <c r="L37" s="1179" t="e">
        <f t="shared" si="8"/>
        <v>#VALUE!</v>
      </c>
      <c r="M37" s="140" t="e">
        <f t="shared" si="29"/>
        <v>#VALUE!</v>
      </c>
      <c r="N37" s="1181" t="e">
        <f t="shared" si="30"/>
        <v>#DIV/0!</v>
      </c>
      <c r="O37" s="1181" t="e">
        <f t="shared" si="10"/>
        <v>#VALUE!</v>
      </c>
      <c r="P37" s="1186" t="e">
        <f t="shared" si="11"/>
        <v>#VALUE!</v>
      </c>
      <c r="Q37" s="794" t="e">
        <f t="shared" si="12"/>
        <v>#VALUE!</v>
      </c>
      <c r="R37" s="1186" t="e">
        <f t="shared" si="13"/>
        <v>#VALUE!</v>
      </c>
      <c r="S37" s="1187" t="e">
        <f t="shared" si="14"/>
        <v>#VALUE!</v>
      </c>
      <c r="T37" s="1186" t="e">
        <f t="shared" si="15"/>
        <v>#VALUE!</v>
      </c>
      <c r="U37" s="1188" t="e">
        <f t="shared" si="16"/>
        <v>#VALUE!</v>
      </c>
      <c r="V37" s="140"/>
      <c r="W37" s="1192" t="e">
        <f t="shared" si="17"/>
        <v>#VALUE!</v>
      </c>
      <c r="X37" s="1192" t="e">
        <f t="shared" si="18"/>
        <v>#VALUE!</v>
      </c>
      <c r="Y37" s="1192" t="e">
        <f t="shared" si="19"/>
        <v>#VALUE!</v>
      </c>
      <c r="Z37" s="1192" t="e">
        <f t="shared" si="20"/>
        <v>#VALUE!</v>
      </c>
      <c r="AA37" s="1192" t="e">
        <f t="shared" si="21"/>
        <v>#VALUE!</v>
      </c>
      <c r="AB37" s="1192" t="e">
        <f t="shared" si="22"/>
        <v>#VALUE!</v>
      </c>
      <c r="AC37" s="1298" t="e">
        <f t="shared" si="23"/>
        <v>#VALUE!</v>
      </c>
      <c r="AD37" s="1171" t="e">
        <f t="shared" si="25"/>
        <v>#VALUE!</v>
      </c>
      <c r="AE37" s="1187" t="e">
        <f t="shared" si="24"/>
        <v>#VALUE!</v>
      </c>
      <c r="AF37" s="792" t="e">
        <f t="shared" si="26"/>
        <v>#DIV/0!</v>
      </c>
      <c r="AG37" s="142"/>
      <c r="AJ37" s="1179"/>
      <c r="AK37" s="1179"/>
      <c r="AL37" s="1179"/>
      <c r="AM37" s="1179"/>
    </row>
    <row r="38" spans="1:39" ht="16.5" customHeight="1" x14ac:dyDescent="0.25">
      <c r="A38" s="797">
        <f t="shared" si="27"/>
        <v>35</v>
      </c>
      <c r="B38" s="795">
        <f t="shared" si="0"/>
        <v>35.042682926829272</v>
      </c>
      <c r="C38" s="1302">
        <f>AVERAGE(C37,C39)</f>
        <v>248.5</v>
      </c>
      <c r="D38" s="1302">
        <f t="shared" si="1"/>
        <v>8.9427527898380603</v>
      </c>
      <c r="E38" s="1302" t="e">
        <f t="shared" si="2"/>
        <v>#VALUE!</v>
      </c>
      <c r="F38" s="147" t="e">
        <f t="shared" si="3"/>
        <v>#VALUE!</v>
      </c>
      <c r="G38" s="147" t="e">
        <f t="shared" si="4"/>
        <v>#VALUE!</v>
      </c>
      <c r="H38" s="147" t="e">
        <f t="shared" si="5"/>
        <v>#VALUE!</v>
      </c>
      <c r="I38" s="147" t="e">
        <f t="shared" si="6"/>
        <v>#DIV/0!</v>
      </c>
      <c r="J38" s="147">
        <f t="shared" si="7"/>
        <v>0</v>
      </c>
      <c r="K38" s="146" t="e">
        <f t="shared" si="28"/>
        <v>#VALUE!</v>
      </c>
      <c r="L38" s="1179" t="e">
        <f t="shared" si="8"/>
        <v>#VALUE!</v>
      </c>
      <c r="M38" s="140" t="e">
        <f t="shared" si="29"/>
        <v>#VALUE!</v>
      </c>
      <c r="N38" s="1181" t="e">
        <f t="shared" si="30"/>
        <v>#DIV/0!</v>
      </c>
      <c r="O38" s="1181" t="e">
        <f t="shared" si="10"/>
        <v>#VALUE!</v>
      </c>
      <c r="P38" s="1186" t="e">
        <f t="shared" si="11"/>
        <v>#VALUE!</v>
      </c>
      <c r="Q38" s="794" t="e">
        <f t="shared" si="12"/>
        <v>#VALUE!</v>
      </c>
      <c r="R38" s="1186" t="e">
        <f t="shared" si="13"/>
        <v>#VALUE!</v>
      </c>
      <c r="S38" s="1187" t="e">
        <f t="shared" si="14"/>
        <v>#VALUE!</v>
      </c>
      <c r="T38" s="1186" t="e">
        <f t="shared" si="15"/>
        <v>#VALUE!</v>
      </c>
      <c r="U38" s="1188" t="e">
        <f t="shared" si="16"/>
        <v>#VALUE!</v>
      </c>
      <c r="V38" s="140"/>
      <c r="W38" s="1192" t="e">
        <f t="shared" si="17"/>
        <v>#VALUE!</v>
      </c>
      <c r="X38" s="1192" t="e">
        <f t="shared" si="18"/>
        <v>#VALUE!</v>
      </c>
      <c r="Y38" s="1192" t="e">
        <f t="shared" si="19"/>
        <v>#VALUE!</v>
      </c>
      <c r="Z38" s="1192" t="e">
        <f t="shared" si="20"/>
        <v>#VALUE!</v>
      </c>
      <c r="AA38" s="1192" t="e">
        <f t="shared" si="21"/>
        <v>#VALUE!</v>
      </c>
      <c r="AB38" s="1192" t="e">
        <f t="shared" si="22"/>
        <v>#VALUE!</v>
      </c>
      <c r="AC38" s="1298" t="e">
        <f t="shared" si="23"/>
        <v>#VALUE!</v>
      </c>
      <c r="AD38" s="1171" t="e">
        <f t="shared" si="25"/>
        <v>#VALUE!</v>
      </c>
      <c r="AE38" s="1187" t="e">
        <f t="shared" si="24"/>
        <v>#VALUE!</v>
      </c>
      <c r="AF38" s="792" t="e">
        <f t="shared" si="26"/>
        <v>#DIV/0!</v>
      </c>
      <c r="AG38" s="142"/>
      <c r="AJ38" s="1179"/>
      <c r="AK38" s="1179"/>
      <c r="AL38" s="1179"/>
      <c r="AM38" s="1179"/>
    </row>
    <row r="39" spans="1:39" ht="16.5" customHeight="1" x14ac:dyDescent="0.25">
      <c r="A39" s="797">
        <f t="shared" si="27"/>
        <v>36</v>
      </c>
      <c r="B39" s="795">
        <f t="shared" si="0"/>
        <v>36.043902439024386</v>
      </c>
      <c r="C39" s="1302">
        <f>IF(MLF_LakTag1=7000,63,IF(MLF_LakTag1=9000,105,231))</f>
        <v>231</v>
      </c>
      <c r="D39" s="1302">
        <f t="shared" si="1"/>
        <v>9.5165419482651927</v>
      </c>
      <c r="E39" s="1302" t="e">
        <f t="shared" si="2"/>
        <v>#VALUE!</v>
      </c>
      <c r="F39" s="147" t="e">
        <f t="shared" si="3"/>
        <v>#VALUE!</v>
      </c>
      <c r="G39" s="147" t="e">
        <f t="shared" si="4"/>
        <v>#VALUE!</v>
      </c>
      <c r="H39" s="147" t="e">
        <f t="shared" si="5"/>
        <v>#VALUE!</v>
      </c>
      <c r="I39" s="147" t="e">
        <f t="shared" si="6"/>
        <v>#DIV/0!</v>
      </c>
      <c r="J39" s="147">
        <f t="shared" si="7"/>
        <v>0</v>
      </c>
      <c r="K39" s="146" t="e">
        <f t="shared" si="28"/>
        <v>#VALUE!</v>
      </c>
      <c r="L39" s="1179" t="e">
        <f t="shared" si="8"/>
        <v>#VALUE!</v>
      </c>
      <c r="M39" s="140" t="e">
        <f t="shared" si="29"/>
        <v>#VALUE!</v>
      </c>
      <c r="N39" s="1181" t="e">
        <f t="shared" si="30"/>
        <v>#DIV/0!</v>
      </c>
      <c r="O39" s="1181" t="e">
        <f t="shared" si="10"/>
        <v>#VALUE!</v>
      </c>
      <c r="P39" s="1186" t="e">
        <f t="shared" si="11"/>
        <v>#VALUE!</v>
      </c>
      <c r="Q39" s="794" t="e">
        <f t="shared" si="12"/>
        <v>#VALUE!</v>
      </c>
      <c r="R39" s="1186" t="e">
        <f t="shared" si="13"/>
        <v>#VALUE!</v>
      </c>
      <c r="S39" s="1187" t="e">
        <f t="shared" si="14"/>
        <v>#VALUE!</v>
      </c>
      <c r="T39" s="1186" t="e">
        <f t="shared" si="15"/>
        <v>#VALUE!</v>
      </c>
      <c r="U39" s="1188" t="e">
        <f t="shared" si="16"/>
        <v>#VALUE!</v>
      </c>
      <c r="V39" s="140"/>
      <c r="W39" s="1192" t="e">
        <f t="shared" si="17"/>
        <v>#VALUE!</v>
      </c>
      <c r="X39" s="1192" t="e">
        <f t="shared" si="18"/>
        <v>#VALUE!</v>
      </c>
      <c r="Y39" s="1192" t="e">
        <f t="shared" si="19"/>
        <v>#VALUE!</v>
      </c>
      <c r="Z39" s="1192" t="e">
        <f t="shared" si="20"/>
        <v>#VALUE!</v>
      </c>
      <c r="AA39" s="1192" t="e">
        <f t="shared" si="21"/>
        <v>#VALUE!</v>
      </c>
      <c r="AB39" s="1192" t="e">
        <f t="shared" si="22"/>
        <v>#VALUE!</v>
      </c>
      <c r="AC39" s="1298" t="e">
        <f t="shared" si="23"/>
        <v>#VALUE!</v>
      </c>
      <c r="AD39" s="1171" t="e">
        <f t="shared" si="25"/>
        <v>#VALUE!</v>
      </c>
      <c r="AE39" s="1187" t="e">
        <f t="shared" si="24"/>
        <v>#VALUE!</v>
      </c>
      <c r="AF39" s="792" t="e">
        <f t="shared" si="26"/>
        <v>#DIV/0!</v>
      </c>
      <c r="AG39" s="142"/>
      <c r="AJ39" s="1179"/>
      <c r="AK39" s="1179"/>
      <c r="AL39" s="1179"/>
      <c r="AM39" s="1179"/>
    </row>
    <row r="40" spans="1:39" ht="16.5" customHeight="1" x14ac:dyDescent="0.25">
      <c r="A40" s="1203">
        <f t="shared" si="27"/>
        <v>37</v>
      </c>
      <c r="B40" s="1204">
        <f t="shared" si="0"/>
        <v>37.045121951219514</v>
      </c>
      <c r="C40" s="1302">
        <f>AVERAGE(C39,C41)</f>
        <v>196</v>
      </c>
      <c r="D40" s="1302">
        <f t="shared" si="1"/>
        <v>10.015866146805386</v>
      </c>
      <c r="E40" s="1302" t="e">
        <f t="shared" si="2"/>
        <v>#VALUE!</v>
      </c>
      <c r="F40" s="1205" t="e">
        <f t="shared" si="3"/>
        <v>#VALUE!</v>
      </c>
      <c r="G40" s="1205" t="e">
        <f t="shared" si="4"/>
        <v>#VALUE!</v>
      </c>
      <c r="H40" s="1205" t="e">
        <f t="shared" si="5"/>
        <v>#VALUE!</v>
      </c>
      <c r="I40" s="1205" t="e">
        <f t="shared" si="6"/>
        <v>#DIV/0!</v>
      </c>
      <c r="J40" s="1205">
        <f t="shared" si="7"/>
        <v>0</v>
      </c>
      <c r="K40" s="1206" t="e">
        <f t="shared" si="28"/>
        <v>#VALUE!</v>
      </c>
      <c r="L40" s="1207" t="e">
        <f t="shared" si="8"/>
        <v>#VALUE!</v>
      </c>
      <c r="M40" s="1208" t="e">
        <f t="shared" si="29"/>
        <v>#VALUE!</v>
      </c>
      <c r="N40" s="1209" t="e">
        <f t="shared" si="30"/>
        <v>#DIV/0!</v>
      </c>
      <c r="O40" s="1209" t="e">
        <f t="shared" si="10"/>
        <v>#VALUE!</v>
      </c>
      <c r="P40" s="1210" t="e">
        <f t="shared" si="11"/>
        <v>#VALUE!</v>
      </c>
      <c r="Q40" s="1211" t="e">
        <f t="shared" si="12"/>
        <v>#VALUE!</v>
      </c>
      <c r="R40" s="1210" t="e">
        <f t="shared" si="13"/>
        <v>#VALUE!</v>
      </c>
      <c r="S40" s="1212" t="e">
        <f t="shared" si="14"/>
        <v>#VALUE!</v>
      </c>
      <c r="T40" s="1210" t="e">
        <f t="shared" si="15"/>
        <v>#VALUE!</v>
      </c>
      <c r="U40" s="1213" t="e">
        <f t="shared" si="16"/>
        <v>#VALUE!</v>
      </c>
      <c r="V40" s="1208"/>
      <c r="W40" s="1214" t="e">
        <f t="shared" si="17"/>
        <v>#VALUE!</v>
      </c>
      <c r="X40" s="1214" t="e">
        <f t="shared" si="18"/>
        <v>#VALUE!</v>
      </c>
      <c r="Y40" s="1214" t="e">
        <f t="shared" si="19"/>
        <v>#VALUE!</v>
      </c>
      <c r="Z40" s="1214" t="e">
        <f t="shared" si="20"/>
        <v>#VALUE!</v>
      </c>
      <c r="AA40" s="1214" t="e">
        <f t="shared" si="21"/>
        <v>#VALUE!</v>
      </c>
      <c r="AB40" s="1214" t="e">
        <f t="shared" si="22"/>
        <v>#VALUE!</v>
      </c>
      <c r="AC40" s="1299" t="e">
        <f t="shared" si="23"/>
        <v>#VALUE!</v>
      </c>
      <c r="AD40" s="1215" t="e">
        <f t="shared" si="25"/>
        <v>#VALUE!</v>
      </c>
      <c r="AE40" s="1187" t="e">
        <f t="shared" si="24"/>
        <v>#VALUE!</v>
      </c>
      <c r="AF40" s="792" t="e">
        <f t="shared" si="26"/>
        <v>#DIV/0!</v>
      </c>
      <c r="AG40" s="143"/>
      <c r="AJ40" s="1179"/>
      <c r="AK40" s="1179"/>
      <c r="AL40" s="1179"/>
      <c r="AM40" s="1179"/>
    </row>
    <row r="41" spans="1:39" ht="16.5" customHeight="1" x14ac:dyDescent="0.25">
      <c r="A41" s="797">
        <f t="shared" si="27"/>
        <v>38</v>
      </c>
      <c r="B41" s="795">
        <f t="shared" si="0"/>
        <v>38.046341463414635</v>
      </c>
      <c r="C41" s="1302">
        <f>IF(MLF_LakTag1=7000,42,IF(MLF_LakTag1=9000,91,161))</f>
        <v>161</v>
      </c>
      <c r="D41" s="1302">
        <f t="shared" si="1"/>
        <v>10.434062989915923</v>
      </c>
      <c r="E41" s="1302" t="e">
        <f t="shared" si="2"/>
        <v>#VALUE!</v>
      </c>
      <c r="F41" s="147" t="e">
        <f t="shared" si="3"/>
        <v>#VALUE!</v>
      </c>
      <c r="G41" s="147" t="e">
        <f t="shared" si="4"/>
        <v>#VALUE!</v>
      </c>
      <c r="H41" s="147" t="e">
        <f t="shared" si="5"/>
        <v>#VALUE!</v>
      </c>
      <c r="I41" s="147" t="e">
        <f t="shared" si="6"/>
        <v>#DIV/0!</v>
      </c>
      <c r="J41" s="147">
        <f t="shared" si="7"/>
        <v>0</v>
      </c>
      <c r="K41" s="146" t="e">
        <f t="shared" si="28"/>
        <v>#VALUE!</v>
      </c>
      <c r="L41" s="1179" t="e">
        <f t="shared" si="8"/>
        <v>#VALUE!</v>
      </c>
      <c r="M41" s="140" t="e">
        <f t="shared" si="29"/>
        <v>#VALUE!</v>
      </c>
      <c r="N41" s="1181" t="e">
        <f t="shared" si="30"/>
        <v>#DIV/0!</v>
      </c>
      <c r="O41" s="1181" t="e">
        <f t="shared" si="10"/>
        <v>#VALUE!</v>
      </c>
      <c r="P41" s="1186" t="e">
        <f t="shared" si="11"/>
        <v>#VALUE!</v>
      </c>
      <c r="Q41" s="794" t="e">
        <f t="shared" si="12"/>
        <v>#VALUE!</v>
      </c>
      <c r="R41" s="1186" t="e">
        <f t="shared" si="13"/>
        <v>#VALUE!</v>
      </c>
      <c r="S41" s="1187" t="e">
        <f t="shared" si="14"/>
        <v>#VALUE!</v>
      </c>
      <c r="T41" s="1186" t="e">
        <f t="shared" si="15"/>
        <v>#VALUE!</v>
      </c>
      <c r="U41" s="1188" t="e">
        <f t="shared" si="16"/>
        <v>#VALUE!</v>
      </c>
      <c r="V41" s="140"/>
      <c r="W41" s="1192" t="e">
        <f t="shared" si="17"/>
        <v>#VALUE!</v>
      </c>
      <c r="X41" s="1192" t="e">
        <f t="shared" si="18"/>
        <v>#VALUE!</v>
      </c>
      <c r="Y41" s="1192" t="e">
        <f t="shared" si="19"/>
        <v>#VALUE!</v>
      </c>
      <c r="Z41" s="1192" t="e">
        <f t="shared" si="20"/>
        <v>#VALUE!</v>
      </c>
      <c r="AA41" s="1192" t="e">
        <f t="shared" si="21"/>
        <v>#VALUE!</v>
      </c>
      <c r="AB41" s="1192" t="e">
        <f t="shared" si="22"/>
        <v>#VALUE!</v>
      </c>
      <c r="AC41" s="1298" t="e">
        <f t="shared" si="23"/>
        <v>#VALUE!</v>
      </c>
      <c r="AD41" s="1171" t="e">
        <f t="shared" si="25"/>
        <v>#VALUE!</v>
      </c>
      <c r="AE41" s="1187" t="e">
        <f t="shared" si="24"/>
        <v>#VALUE!</v>
      </c>
      <c r="AF41" s="792" t="e">
        <f t="shared" si="26"/>
        <v>#DIV/0!</v>
      </c>
      <c r="AG41" s="142"/>
      <c r="AJ41" s="1179"/>
      <c r="AK41" s="1179"/>
      <c r="AL41" s="1179"/>
      <c r="AM41" s="1179"/>
    </row>
    <row r="42" spans="1:39" ht="16.5" customHeight="1" x14ac:dyDescent="0.25">
      <c r="A42" s="797">
        <f t="shared" si="27"/>
        <v>39</v>
      </c>
      <c r="B42" s="795">
        <f t="shared" si="0"/>
        <v>39.047560975609755</v>
      </c>
      <c r="C42" s="1302">
        <f>AVERAGE(C41,C43)</f>
        <v>143.5</v>
      </c>
      <c r="D42" s="1302">
        <f t="shared" si="1"/>
        <v>10.767419350623548</v>
      </c>
      <c r="E42" s="1302" t="e">
        <f t="shared" si="2"/>
        <v>#VALUE!</v>
      </c>
      <c r="F42" s="147" t="e">
        <f t="shared" si="3"/>
        <v>#VALUE!</v>
      </c>
      <c r="G42" s="147" t="e">
        <f t="shared" si="4"/>
        <v>#VALUE!</v>
      </c>
      <c r="H42" s="147" t="e">
        <f t="shared" si="5"/>
        <v>#VALUE!</v>
      </c>
      <c r="I42" s="147" t="e">
        <f t="shared" si="6"/>
        <v>#DIV/0!</v>
      </c>
      <c r="J42" s="147">
        <f t="shared" si="7"/>
        <v>0</v>
      </c>
      <c r="K42" s="146" t="e">
        <f t="shared" si="28"/>
        <v>#VALUE!</v>
      </c>
      <c r="L42" s="1179" t="e">
        <f t="shared" si="8"/>
        <v>#VALUE!</v>
      </c>
      <c r="M42" s="140" t="e">
        <f t="shared" si="29"/>
        <v>#VALUE!</v>
      </c>
      <c r="N42" s="1181" t="e">
        <f t="shared" si="30"/>
        <v>#DIV/0!</v>
      </c>
      <c r="O42" s="1181" t="e">
        <f t="shared" si="10"/>
        <v>#VALUE!</v>
      </c>
      <c r="P42" s="1186" t="e">
        <f t="shared" si="11"/>
        <v>#VALUE!</v>
      </c>
      <c r="Q42" s="794" t="e">
        <f t="shared" si="12"/>
        <v>#VALUE!</v>
      </c>
      <c r="R42" s="1186" t="e">
        <f t="shared" si="13"/>
        <v>#VALUE!</v>
      </c>
      <c r="S42" s="1187" t="e">
        <f t="shared" si="14"/>
        <v>#VALUE!</v>
      </c>
      <c r="T42" s="1186" t="e">
        <f t="shared" si="15"/>
        <v>#VALUE!</v>
      </c>
      <c r="U42" s="1188" t="e">
        <f t="shared" si="16"/>
        <v>#VALUE!</v>
      </c>
      <c r="V42" s="140"/>
      <c r="W42" s="1192" t="e">
        <f t="shared" si="17"/>
        <v>#VALUE!</v>
      </c>
      <c r="X42" s="1192" t="e">
        <f t="shared" si="18"/>
        <v>#VALUE!</v>
      </c>
      <c r="Y42" s="1192" t="e">
        <f t="shared" si="19"/>
        <v>#VALUE!</v>
      </c>
      <c r="Z42" s="1192" t="e">
        <f t="shared" si="20"/>
        <v>#VALUE!</v>
      </c>
      <c r="AA42" s="1192" t="e">
        <f t="shared" si="21"/>
        <v>#VALUE!</v>
      </c>
      <c r="AB42" s="1192" t="e">
        <f t="shared" si="22"/>
        <v>#VALUE!</v>
      </c>
      <c r="AC42" s="1298" t="e">
        <f t="shared" si="23"/>
        <v>#VALUE!</v>
      </c>
      <c r="AD42" s="1171" t="e">
        <f t="shared" si="25"/>
        <v>#VALUE!</v>
      </c>
      <c r="AE42" s="1187" t="e">
        <f t="shared" si="24"/>
        <v>#VALUE!</v>
      </c>
      <c r="AF42" s="792" t="e">
        <f t="shared" si="26"/>
        <v>#DIV/0!</v>
      </c>
      <c r="AG42" s="142"/>
      <c r="AJ42" s="1179"/>
      <c r="AK42" s="1179"/>
      <c r="AL42" s="1179"/>
      <c r="AM42" s="1179"/>
    </row>
    <row r="43" spans="1:39" ht="16.5" customHeight="1" x14ac:dyDescent="0.25">
      <c r="A43" s="797">
        <f t="shared" si="27"/>
        <v>40</v>
      </c>
      <c r="B43" s="795">
        <f t="shared" si="0"/>
        <v>40.048780487804876</v>
      </c>
      <c r="C43" s="1302">
        <f>IF(MLF_LakTag1=7000,42,IF(MLF_LakTag1=9000,77,126))</f>
        <v>126</v>
      </c>
      <c r="D43" s="1302">
        <f t="shared" si="1"/>
        <v>11.015599880254818</v>
      </c>
      <c r="E43" s="1302" t="e">
        <f t="shared" si="2"/>
        <v>#VALUE!</v>
      </c>
      <c r="F43" s="147" t="e">
        <f t="shared" si="3"/>
        <v>#VALUE!</v>
      </c>
      <c r="G43" s="147" t="e">
        <f t="shared" si="4"/>
        <v>#VALUE!</v>
      </c>
      <c r="H43" s="147" t="e">
        <f t="shared" si="5"/>
        <v>#VALUE!</v>
      </c>
      <c r="I43" s="147" t="e">
        <f t="shared" si="6"/>
        <v>#DIV/0!</v>
      </c>
      <c r="J43" s="147">
        <f t="shared" si="7"/>
        <v>0</v>
      </c>
      <c r="K43" s="146" t="e">
        <f t="shared" si="28"/>
        <v>#VALUE!</v>
      </c>
      <c r="L43" s="1179" t="e">
        <f t="shared" si="8"/>
        <v>#VALUE!</v>
      </c>
      <c r="M43" s="140" t="e">
        <f t="shared" si="29"/>
        <v>#VALUE!</v>
      </c>
      <c r="N43" s="1181" t="e">
        <f t="shared" si="30"/>
        <v>#DIV/0!</v>
      </c>
      <c r="O43" s="1181" t="e">
        <f t="shared" si="10"/>
        <v>#VALUE!</v>
      </c>
      <c r="P43" s="1186" t="e">
        <f t="shared" si="11"/>
        <v>#VALUE!</v>
      </c>
      <c r="Q43" s="794" t="e">
        <f t="shared" si="12"/>
        <v>#VALUE!</v>
      </c>
      <c r="R43" s="1186" t="e">
        <f t="shared" si="13"/>
        <v>#VALUE!</v>
      </c>
      <c r="S43" s="1187" t="e">
        <f t="shared" si="14"/>
        <v>#VALUE!</v>
      </c>
      <c r="T43" s="1186" t="e">
        <f t="shared" si="15"/>
        <v>#VALUE!</v>
      </c>
      <c r="U43" s="1188" t="e">
        <f t="shared" si="16"/>
        <v>#VALUE!</v>
      </c>
      <c r="V43" s="140"/>
      <c r="W43" s="1192" t="e">
        <f t="shared" si="17"/>
        <v>#VALUE!</v>
      </c>
      <c r="X43" s="1192" t="e">
        <f t="shared" si="18"/>
        <v>#VALUE!</v>
      </c>
      <c r="Y43" s="1192" t="e">
        <f t="shared" si="19"/>
        <v>#VALUE!</v>
      </c>
      <c r="Z43" s="1192" t="e">
        <f t="shared" si="20"/>
        <v>#VALUE!</v>
      </c>
      <c r="AA43" s="1192" t="e">
        <f t="shared" si="21"/>
        <v>#VALUE!</v>
      </c>
      <c r="AB43" s="1192" t="e">
        <f t="shared" si="22"/>
        <v>#VALUE!</v>
      </c>
      <c r="AC43" s="1298" t="e">
        <f t="shared" si="23"/>
        <v>#VALUE!</v>
      </c>
      <c r="AD43" s="1171" t="e">
        <f t="shared" si="25"/>
        <v>#VALUE!</v>
      </c>
      <c r="AE43" s="1187" t="e">
        <f t="shared" si="24"/>
        <v>#VALUE!</v>
      </c>
      <c r="AF43" s="792" t="e">
        <f t="shared" si="26"/>
        <v>#DIV/0!</v>
      </c>
      <c r="AG43" s="142"/>
      <c r="AJ43" s="1179"/>
      <c r="AK43" s="1179"/>
      <c r="AL43" s="1179"/>
      <c r="AM43" s="1179"/>
    </row>
    <row r="44" spans="1:39" ht="16.5" customHeight="1" x14ac:dyDescent="0.25">
      <c r="A44" s="797">
        <f t="shared" si="27"/>
        <v>41</v>
      </c>
      <c r="B44" s="795">
        <f t="shared" si="0"/>
        <v>41.050000000000004</v>
      </c>
      <c r="C44" s="1302">
        <f>AVERAGE(C43,C45)</f>
        <v>108.5</v>
      </c>
      <c r="D44" s="1302">
        <f t="shared" si="1"/>
        <v>11.18207551817104</v>
      </c>
      <c r="E44" s="1302" t="e">
        <f t="shared" si="2"/>
        <v>#VALUE!</v>
      </c>
      <c r="F44" s="147" t="e">
        <f t="shared" si="3"/>
        <v>#VALUE!</v>
      </c>
      <c r="G44" s="147" t="e">
        <f t="shared" si="4"/>
        <v>#VALUE!</v>
      </c>
      <c r="H44" s="147" t="e">
        <f t="shared" si="5"/>
        <v>#VALUE!</v>
      </c>
      <c r="I44" s="147" t="e">
        <f t="shared" si="6"/>
        <v>#DIV/0!</v>
      </c>
      <c r="J44" s="147">
        <f t="shared" si="7"/>
        <v>0</v>
      </c>
      <c r="K44" s="146" t="e">
        <f t="shared" si="28"/>
        <v>#VALUE!</v>
      </c>
      <c r="L44" s="1179" t="e">
        <f t="shared" si="8"/>
        <v>#VALUE!</v>
      </c>
      <c r="M44" s="140" t="e">
        <f t="shared" si="29"/>
        <v>#VALUE!</v>
      </c>
      <c r="N44" s="1181" t="e">
        <f t="shared" si="30"/>
        <v>#DIV/0!</v>
      </c>
      <c r="O44" s="1181" t="e">
        <f t="shared" si="10"/>
        <v>#VALUE!</v>
      </c>
      <c r="P44" s="1186" t="e">
        <f t="shared" si="11"/>
        <v>#VALUE!</v>
      </c>
      <c r="Q44" s="794" t="e">
        <f t="shared" si="12"/>
        <v>#VALUE!</v>
      </c>
      <c r="R44" s="1186" t="e">
        <f t="shared" si="13"/>
        <v>#VALUE!</v>
      </c>
      <c r="S44" s="1187" t="e">
        <f t="shared" si="14"/>
        <v>#VALUE!</v>
      </c>
      <c r="T44" s="1186" t="e">
        <f t="shared" si="15"/>
        <v>#VALUE!</v>
      </c>
      <c r="U44" s="1188" t="e">
        <f t="shared" si="16"/>
        <v>#VALUE!</v>
      </c>
      <c r="V44" s="140"/>
      <c r="W44" s="1192" t="e">
        <f t="shared" si="17"/>
        <v>#VALUE!</v>
      </c>
      <c r="X44" s="1192" t="e">
        <f t="shared" si="18"/>
        <v>#VALUE!</v>
      </c>
      <c r="Y44" s="1192" t="e">
        <f t="shared" si="19"/>
        <v>#VALUE!</v>
      </c>
      <c r="Z44" s="1192" t="e">
        <f t="shared" si="20"/>
        <v>#VALUE!</v>
      </c>
      <c r="AA44" s="1192" t="e">
        <f t="shared" si="21"/>
        <v>#VALUE!</v>
      </c>
      <c r="AB44" s="1192" t="e">
        <f t="shared" si="22"/>
        <v>#VALUE!</v>
      </c>
      <c r="AC44" s="1298" t="e">
        <f t="shared" si="23"/>
        <v>#VALUE!</v>
      </c>
      <c r="AD44" s="1171" t="e">
        <f t="shared" si="25"/>
        <v>#VALUE!</v>
      </c>
      <c r="AE44" s="1187" t="e">
        <f t="shared" si="24"/>
        <v>#VALUE!</v>
      </c>
      <c r="AF44" s="792" t="e">
        <f t="shared" si="26"/>
        <v>#DIV/0!</v>
      </c>
      <c r="AG44" s="142"/>
      <c r="AJ44" s="1179"/>
      <c r="AK44" s="1179"/>
      <c r="AL44" s="1179"/>
      <c r="AM44" s="1179"/>
    </row>
    <row r="45" spans="1:39" ht="16.5" customHeight="1" x14ac:dyDescent="0.25">
      <c r="A45" s="1203">
        <f t="shared" si="27"/>
        <v>42</v>
      </c>
      <c r="B45" s="1204">
        <f t="shared" si="0"/>
        <v>42.051219512195125</v>
      </c>
      <c r="C45" s="1302">
        <f>IF(MLF_LakTag1=7000,42,IF(MLF_LakTag1=9000,63,91))</f>
        <v>91</v>
      </c>
      <c r="D45" s="1302">
        <f t="shared" si="1"/>
        <v>11.274552001496055</v>
      </c>
      <c r="E45" s="1302" t="e">
        <f t="shared" si="2"/>
        <v>#VALUE!</v>
      </c>
      <c r="F45" s="1205" t="e">
        <f t="shared" si="3"/>
        <v>#VALUE!</v>
      </c>
      <c r="G45" s="1205" t="e">
        <f t="shared" si="4"/>
        <v>#VALUE!</v>
      </c>
      <c r="H45" s="1205" t="e">
        <f t="shared" si="5"/>
        <v>#VALUE!</v>
      </c>
      <c r="I45" s="1205" t="e">
        <f t="shared" si="6"/>
        <v>#DIV/0!</v>
      </c>
      <c r="J45" s="1205">
        <f t="shared" si="7"/>
        <v>0</v>
      </c>
      <c r="K45" s="1206" t="e">
        <f t="shared" si="28"/>
        <v>#VALUE!</v>
      </c>
      <c r="L45" s="1207" t="e">
        <f t="shared" si="8"/>
        <v>#VALUE!</v>
      </c>
      <c r="M45" s="1208" t="e">
        <f t="shared" si="29"/>
        <v>#VALUE!</v>
      </c>
      <c r="N45" s="1209" t="e">
        <f t="shared" si="30"/>
        <v>#DIV/0!</v>
      </c>
      <c r="O45" s="1209" t="e">
        <f t="shared" si="10"/>
        <v>#VALUE!</v>
      </c>
      <c r="P45" s="1210" t="e">
        <f t="shared" si="11"/>
        <v>#VALUE!</v>
      </c>
      <c r="Q45" s="1211" t="e">
        <f t="shared" si="12"/>
        <v>#VALUE!</v>
      </c>
      <c r="R45" s="1210" t="e">
        <f t="shared" si="13"/>
        <v>#VALUE!</v>
      </c>
      <c r="S45" s="1212" t="e">
        <f t="shared" si="14"/>
        <v>#VALUE!</v>
      </c>
      <c r="T45" s="1210" t="e">
        <f t="shared" si="15"/>
        <v>#VALUE!</v>
      </c>
      <c r="U45" s="1213" t="e">
        <f t="shared" si="16"/>
        <v>#VALUE!</v>
      </c>
      <c r="V45" s="1208"/>
      <c r="W45" s="1214" t="e">
        <f t="shared" si="17"/>
        <v>#VALUE!</v>
      </c>
      <c r="X45" s="1214" t="e">
        <f t="shared" si="18"/>
        <v>#VALUE!</v>
      </c>
      <c r="Y45" s="1214" t="e">
        <f t="shared" si="19"/>
        <v>#VALUE!</v>
      </c>
      <c r="Z45" s="1214" t="e">
        <f t="shared" si="20"/>
        <v>#VALUE!</v>
      </c>
      <c r="AA45" s="1214" t="e">
        <f t="shared" si="21"/>
        <v>#VALUE!</v>
      </c>
      <c r="AB45" s="1214" t="e">
        <f t="shared" si="22"/>
        <v>#VALUE!</v>
      </c>
      <c r="AC45" s="1299" t="e">
        <f t="shared" si="23"/>
        <v>#VALUE!</v>
      </c>
      <c r="AD45" s="1215" t="e">
        <f t="shared" si="25"/>
        <v>#VALUE!</v>
      </c>
      <c r="AE45" s="1187" t="e">
        <f t="shared" si="24"/>
        <v>#VALUE!</v>
      </c>
      <c r="AF45" s="792" t="e">
        <f t="shared" si="26"/>
        <v>#DIV/0!</v>
      </c>
      <c r="AG45" s="143"/>
      <c r="AJ45" s="1179"/>
      <c r="AK45" s="1179"/>
      <c r="AL45" s="1179"/>
      <c r="AM45" s="1179"/>
    </row>
    <row r="46" spans="1:39" ht="16.5" customHeight="1" x14ac:dyDescent="0.25">
      <c r="A46" s="797">
        <f t="shared" si="27"/>
        <v>43</v>
      </c>
      <c r="B46" s="795">
        <f t="shared" si="0"/>
        <v>43.052439024390246</v>
      </c>
      <c r="C46" s="1302">
        <f>AVERAGE(C45,C47)</f>
        <v>73.5</v>
      </c>
      <c r="D46" s="1302">
        <f t="shared" si="1"/>
        <v>11.305398374852835</v>
      </c>
      <c r="E46" s="1302" t="e">
        <f t="shared" si="2"/>
        <v>#VALUE!</v>
      </c>
      <c r="F46" s="147" t="e">
        <f t="shared" si="3"/>
        <v>#VALUE!</v>
      </c>
      <c r="G46" s="147" t="e">
        <f t="shared" si="4"/>
        <v>#VALUE!</v>
      </c>
      <c r="H46" s="147" t="e">
        <f t="shared" si="5"/>
        <v>#VALUE!</v>
      </c>
      <c r="I46" s="147" t="e">
        <f t="shared" si="6"/>
        <v>#DIV/0!</v>
      </c>
      <c r="J46" s="147">
        <f t="shared" si="7"/>
        <v>0</v>
      </c>
      <c r="K46" s="146" t="e">
        <f t="shared" si="28"/>
        <v>#VALUE!</v>
      </c>
      <c r="L46" s="1179" t="e">
        <f t="shared" si="8"/>
        <v>#VALUE!</v>
      </c>
      <c r="M46" s="140" t="e">
        <f t="shared" si="29"/>
        <v>#VALUE!</v>
      </c>
      <c r="N46" s="1181" t="e">
        <f t="shared" si="30"/>
        <v>#DIV/0!</v>
      </c>
      <c r="O46" s="1181" t="e">
        <f t="shared" si="10"/>
        <v>#VALUE!</v>
      </c>
      <c r="P46" s="1186" t="e">
        <f t="shared" si="11"/>
        <v>#VALUE!</v>
      </c>
      <c r="Q46" s="794" t="e">
        <f t="shared" si="12"/>
        <v>#VALUE!</v>
      </c>
      <c r="R46" s="1186" t="e">
        <f t="shared" si="13"/>
        <v>#VALUE!</v>
      </c>
      <c r="S46" s="1187" t="e">
        <f t="shared" si="14"/>
        <v>#VALUE!</v>
      </c>
      <c r="T46" s="1186" t="e">
        <f t="shared" si="15"/>
        <v>#VALUE!</v>
      </c>
      <c r="U46" s="1188" t="e">
        <f t="shared" si="16"/>
        <v>#VALUE!</v>
      </c>
      <c r="V46" s="140"/>
      <c r="W46" s="1192" t="e">
        <f t="shared" si="17"/>
        <v>#VALUE!</v>
      </c>
      <c r="X46" s="1192" t="e">
        <f t="shared" si="18"/>
        <v>#VALUE!</v>
      </c>
      <c r="Y46" s="1192" t="e">
        <f t="shared" si="19"/>
        <v>#VALUE!</v>
      </c>
      <c r="Z46" s="1192" t="e">
        <f t="shared" si="20"/>
        <v>#VALUE!</v>
      </c>
      <c r="AA46" s="1192" t="e">
        <f t="shared" si="21"/>
        <v>#VALUE!</v>
      </c>
      <c r="AB46" s="1192" t="e">
        <f t="shared" si="22"/>
        <v>#VALUE!</v>
      </c>
      <c r="AC46" s="1298" t="e">
        <f t="shared" si="23"/>
        <v>#VALUE!</v>
      </c>
      <c r="AD46" s="1171" t="e">
        <f t="shared" si="25"/>
        <v>#VALUE!</v>
      </c>
      <c r="AE46" s="1187" t="e">
        <f t="shared" si="24"/>
        <v>#VALUE!</v>
      </c>
      <c r="AF46" s="792" t="e">
        <f t="shared" si="26"/>
        <v>#DIV/0!</v>
      </c>
      <c r="AG46" s="142"/>
      <c r="AJ46" s="1179"/>
      <c r="AK46" s="1179"/>
      <c r="AL46" s="1179"/>
      <c r="AM46" s="1179"/>
    </row>
    <row r="47" spans="1:39" ht="16.5" customHeight="1" x14ac:dyDescent="0.25">
      <c r="A47" s="797">
        <f t="shared" si="27"/>
        <v>44</v>
      </c>
      <c r="B47" s="795">
        <f t="shared" si="0"/>
        <v>44.05365853658536</v>
      </c>
      <c r="C47" s="1302">
        <f>IF(MLF_LakTag1=7000,42,IF(MLF_LakTag1=9000,49,56))</f>
        <v>56</v>
      </c>
      <c r="D47" s="1302">
        <f t="shared" si="1"/>
        <v>11.292075500092061</v>
      </c>
      <c r="E47" s="1302" t="e">
        <f t="shared" si="2"/>
        <v>#VALUE!</v>
      </c>
      <c r="F47" s="147" t="e">
        <f t="shared" si="3"/>
        <v>#VALUE!</v>
      </c>
      <c r="G47" s="147" t="e">
        <f t="shared" si="4"/>
        <v>#VALUE!</v>
      </c>
      <c r="H47" s="147" t="e">
        <f t="shared" si="5"/>
        <v>#VALUE!</v>
      </c>
      <c r="I47" s="147" t="e">
        <f t="shared" si="6"/>
        <v>#DIV/0!</v>
      </c>
      <c r="J47" s="147">
        <f t="shared" si="7"/>
        <v>0</v>
      </c>
      <c r="K47" s="146" t="e">
        <f t="shared" si="28"/>
        <v>#VALUE!</v>
      </c>
      <c r="L47" s="1179" t="e">
        <f t="shared" si="8"/>
        <v>#VALUE!</v>
      </c>
      <c r="M47" s="140" t="e">
        <f t="shared" si="29"/>
        <v>#VALUE!</v>
      </c>
      <c r="N47" s="1181" t="e">
        <f t="shared" si="30"/>
        <v>#DIV/0!</v>
      </c>
      <c r="O47" s="1181" t="e">
        <f t="shared" si="10"/>
        <v>#VALUE!</v>
      </c>
      <c r="P47" s="1186" t="e">
        <f t="shared" si="11"/>
        <v>#VALUE!</v>
      </c>
      <c r="Q47" s="794" t="e">
        <f t="shared" si="12"/>
        <v>#VALUE!</v>
      </c>
      <c r="R47" s="1186" t="e">
        <f t="shared" si="13"/>
        <v>#VALUE!</v>
      </c>
      <c r="S47" s="1187" t="e">
        <f t="shared" si="14"/>
        <v>#VALUE!</v>
      </c>
      <c r="T47" s="1186" t="e">
        <f t="shared" si="15"/>
        <v>#VALUE!</v>
      </c>
      <c r="U47" s="1188" t="e">
        <f t="shared" si="16"/>
        <v>#VALUE!</v>
      </c>
      <c r="V47" s="140"/>
      <c r="W47" s="1192" t="e">
        <f t="shared" si="17"/>
        <v>#VALUE!</v>
      </c>
      <c r="X47" s="1192" t="e">
        <f t="shared" si="18"/>
        <v>#VALUE!</v>
      </c>
      <c r="Y47" s="1192" t="e">
        <f t="shared" si="19"/>
        <v>#VALUE!</v>
      </c>
      <c r="Z47" s="1192" t="e">
        <f t="shared" si="20"/>
        <v>#VALUE!</v>
      </c>
      <c r="AA47" s="1192" t="e">
        <f t="shared" si="21"/>
        <v>#VALUE!</v>
      </c>
      <c r="AB47" s="1192" t="e">
        <f t="shared" si="22"/>
        <v>#VALUE!</v>
      </c>
      <c r="AC47" s="1298" t="e">
        <f t="shared" si="23"/>
        <v>#VALUE!</v>
      </c>
      <c r="AD47" s="1171" t="e">
        <f t="shared" si="25"/>
        <v>#VALUE!</v>
      </c>
      <c r="AE47" s="1187" t="e">
        <f t="shared" si="24"/>
        <v>#VALUE!</v>
      </c>
      <c r="AF47" s="792" t="e">
        <f t="shared" si="26"/>
        <v>#DIV/0!</v>
      </c>
      <c r="AG47" s="142"/>
      <c r="AJ47" s="1179"/>
      <c r="AK47" s="1179"/>
      <c r="AL47" s="1179"/>
      <c r="AM47" s="1179"/>
    </row>
    <row r="48" spans="1:39" ht="16.5" customHeight="1" x14ac:dyDescent="0.25">
      <c r="A48" s="797">
        <f t="shared" si="27"/>
        <v>45</v>
      </c>
      <c r="B48" s="795">
        <f t="shared" si="0"/>
        <v>45.054878048780488</v>
      </c>
      <c r="C48" s="1302">
        <f>AVERAGE(C47,C49)</f>
        <v>49</v>
      </c>
      <c r="D48" s="1302">
        <f t="shared" si="1"/>
        <v>11.257564566026325</v>
      </c>
      <c r="E48" s="1302" t="e">
        <f t="shared" si="2"/>
        <v>#VALUE!</v>
      </c>
      <c r="F48" s="147" t="e">
        <f t="shared" si="3"/>
        <v>#VALUE!</v>
      </c>
      <c r="G48" s="147" t="e">
        <f t="shared" si="4"/>
        <v>#VALUE!</v>
      </c>
      <c r="H48" s="147" t="e">
        <f t="shared" si="5"/>
        <v>#VALUE!</v>
      </c>
      <c r="I48" s="147" t="e">
        <f t="shared" si="6"/>
        <v>#DIV/0!</v>
      </c>
      <c r="J48" s="147">
        <f t="shared" si="7"/>
        <v>0</v>
      </c>
      <c r="K48" s="146" t="e">
        <f t="shared" si="28"/>
        <v>#VALUE!</v>
      </c>
      <c r="L48" s="1179" t="e">
        <f t="shared" si="8"/>
        <v>#VALUE!</v>
      </c>
      <c r="M48" s="140" t="e">
        <f t="shared" si="29"/>
        <v>#VALUE!</v>
      </c>
      <c r="N48" s="1181" t="e">
        <f t="shared" si="30"/>
        <v>#DIV/0!</v>
      </c>
      <c r="O48" s="1181" t="e">
        <f t="shared" si="10"/>
        <v>#VALUE!</v>
      </c>
      <c r="P48" s="1186" t="e">
        <f t="shared" si="11"/>
        <v>#VALUE!</v>
      </c>
      <c r="Q48" s="794" t="e">
        <f t="shared" si="12"/>
        <v>#VALUE!</v>
      </c>
      <c r="R48" s="1186" t="e">
        <f t="shared" si="13"/>
        <v>#VALUE!</v>
      </c>
      <c r="S48" s="1187" t="e">
        <f t="shared" si="14"/>
        <v>#VALUE!</v>
      </c>
      <c r="T48" s="1186" t="e">
        <f t="shared" si="15"/>
        <v>#VALUE!</v>
      </c>
      <c r="U48" s="1188" t="e">
        <f t="shared" si="16"/>
        <v>#VALUE!</v>
      </c>
      <c r="V48" s="140"/>
      <c r="W48" s="1192" t="e">
        <f t="shared" si="17"/>
        <v>#VALUE!</v>
      </c>
      <c r="X48" s="1192" t="e">
        <f t="shared" si="18"/>
        <v>#VALUE!</v>
      </c>
      <c r="Y48" s="1192" t="e">
        <f t="shared" si="19"/>
        <v>#VALUE!</v>
      </c>
      <c r="Z48" s="1192" t="e">
        <f t="shared" si="20"/>
        <v>#VALUE!</v>
      </c>
      <c r="AA48" s="1192" t="e">
        <f t="shared" si="21"/>
        <v>#VALUE!</v>
      </c>
      <c r="AB48" s="1192" t="e">
        <f t="shared" si="22"/>
        <v>#VALUE!</v>
      </c>
      <c r="AC48" s="1298" t="e">
        <f t="shared" si="23"/>
        <v>#VALUE!</v>
      </c>
      <c r="AD48" s="1171" t="e">
        <f t="shared" si="25"/>
        <v>#VALUE!</v>
      </c>
      <c r="AE48" s="1187" t="e">
        <f t="shared" si="24"/>
        <v>#VALUE!</v>
      </c>
      <c r="AF48" s="792" t="e">
        <f t="shared" si="26"/>
        <v>#DIV/0!</v>
      </c>
      <c r="AG48" s="142"/>
      <c r="AJ48" s="1179"/>
      <c r="AK48" s="1179"/>
      <c r="AL48" s="1179"/>
      <c r="AM48" s="1179"/>
    </row>
    <row r="49" spans="1:39" ht="15" x14ac:dyDescent="0.25">
      <c r="A49" s="797">
        <f t="shared" si="27"/>
        <v>46</v>
      </c>
      <c r="B49" s="795">
        <f t="shared" si="0"/>
        <v>46.056097560975608</v>
      </c>
      <c r="C49" s="1302">
        <f>IF(MLF_LakTag1=7000,42,IF(MLF_LakTag1=9000,49,42))</f>
        <v>42</v>
      </c>
      <c r="D49" s="1302">
        <f t="shared" si="1"/>
        <v>11.230795598161215</v>
      </c>
      <c r="E49" s="1302" t="e">
        <f t="shared" si="2"/>
        <v>#VALUE!</v>
      </c>
      <c r="F49" s="147" t="e">
        <f t="shared" si="3"/>
        <v>#VALUE!</v>
      </c>
      <c r="G49" s="147" t="e">
        <f t="shared" si="4"/>
        <v>#VALUE!</v>
      </c>
      <c r="H49" s="147" t="e">
        <f t="shared" si="5"/>
        <v>#VALUE!</v>
      </c>
      <c r="I49" s="147" t="e">
        <f t="shared" si="6"/>
        <v>#DIV/0!</v>
      </c>
      <c r="J49" s="147">
        <f t="shared" si="7"/>
        <v>0</v>
      </c>
      <c r="K49" s="146" t="e">
        <f t="shared" si="28"/>
        <v>#VALUE!</v>
      </c>
      <c r="L49" s="1179" t="e">
        <f t="shared" si="8"/>
        <v>#VALUE!</v>
      </c>
      <c r="M49" s="140" t="e">
        <f t="shared" si="29"/>
        <v>#VALUE!</v>
      </c>
      <c r="N49" s="1181" t="e">
        <f t="shared" si="30"/>
        <v>#DIV/0!</v>
      </c>
      <c r="O49" s="1181" t="e">
        <f t="shared" si="10"/>
        <v>#VALUE!</v>
      </c>
      <c r="P49" s="1186" t="e">
        <f t="shared" si="11"/>
        <v>#VALUE!</v>
      </c>
      <c r="Q49" s="794" t="e">
        <f t="shared" si="12"/>
        <v>#VALUE!</v>
      </c>
      <c r="R49" s="1186" t="e">
        <f t="shared" si="13"/>
        <v>#VALUE!</v>
      </c>
      <c r="S49" s="1187" t="e">
        <f t="shared" si="14"/>
        <v>#VALUE!</v>
      </c>
      <c r="T49" s="1186" t="e">
        <f t="shared" si="15"/>
        <v>#VALUE!</v>
      </c>
      <c r="U49" s="1188" t="e">
        <f t="shared" si="16"/>
        <v>#VALUE!</v>
      </c>
      <c r="V49" s="140"/>
      <c r="W49" s="1192" t="e">
        <f t="shared" si="17"/>
        <v>#VALUE!</v>
      </c>
      <c r="X49" s="1192" t="e">
        <f t="shared" si="18"/>
        <v>#VALUE!</v>
      </c>
      <c r="Y49" s="1192" t="e">
        <f t="shared" si="19"/>
        <v>#VALUE!</v>
      </c>
      <c r="Z49" s="1192" t="e">
        <f t="shared" si="20"/>
        <v>#VALUE!</v>
      </c>
      <c r="AA49" s="1192" t="e">
        <f t="shared" si="21"/>
        <v>#VALUE!</v>
      </c>
      <c r="AB49" s="1192" t="e">
        <f t="shared" si="22"/>
        <v>#VALUE!</v>
      </c>
      <c r="AC49" s="1298" t="e">
        <f t="shared" si="23"/>
        <v>#VALUE!</v>
      </c>
      <c r="AD49" s="1171" t="e">
        <f t="shared" si="25"/>
        <v>#VALUE!</v>
      </c>
      <c r="AE49" s="1441" t="e">
        <f t="shared" si="24"/>
        <v>#VALUE!</v>
      </c>
      <c r="AF49" s="792" t="e">
        <f t="shared" si="26"/>
        <v>#DIV/0!</v>
      </c>
      <c r="AG49" s="142"/>
      <c r="AJ49" s="1179"/>
      <c r="AK49" s="1179"/>
      <c r="AL49" s="1179"/>
      <c r="AM49" s="1179"/>
    </row>
    <row r="50" spans="1:39" ht="15.75" thickBot="1" x14ac:dyDescent="0.3">
      <c r="A50" s="664" t="str">
        <f>'Ration Milch'!B50&amp; "             Die Daten sind auf Plausibilität zu prüfen, um Eingabe- und Berechnungsfehler auszuschließen. Es wird keine Gewähr zur Richtigkeit der Daten übernommen."</f>
        <v>Uni Rat 2016, © W. Sekul, LAZBW Aulendorf             Die Daten sind auf Plausibilität zu prüfen, um Eingabe- und Berechnungsfehler auszuschließen. Es wird keine Gewähr zur Richtigkeit der Daten übernommen.</v>
      </c>
      <c r="B50" s="665"/>
      <c r="C50" s="665"/>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5"/>
      <c r="AG50" s="666"/>
      <c r="AJ50" s="1179"/>
      <c r="AK50" s="1179"/>
      <c r="AL50" s="1179"/>
      <c r="AM50" s="1179"/>
    </row>
    <row r="51" spans="1:39" ht="12" thickTop="1" x14ac:dyDescent="0.2">
      <c r="A51" s="1196"/>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7"/>
    </row>
    <row r="52" spans="1:39" s="149" customFormat="1" x14ac:dyDescent="0.2">
      <c r="A52" s="1197"/>
      <c r="B52" s="1198"/>
      <c r="C52" s="1198"/>
      <c r="D52" s="1198"/>
      <c r="E52" s="1198"/>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198"/>
      <c r="AE52" s="1198"/>
      <c r="AF52" s="1198"/>
      <c r="AG52" s="1199"/>
      <c r="AH52" s="150"/>
      <c r="AI52" s="150"/>
      <c r="AJ52" s="150"/>
      <c r="AK52" s="150"/>
      <c r="AL52" s="150"/>
      <c r="AM52" s="150"/>
    </row>
    <row r="53" spans="1:39" x14ac:dyDescent="0.2">
      <c r="A53" s="1196"/>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7"/>
    </row>
    <row r="54" spans="1:39" x14ac:dyDescent="0.2">
      <c r="A54" s="1196"/>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7"/>
    </row>
    <row r="55" spans="1:39" x14ac:dyDescent="0.2">
      <c r="A55" s="1196"/>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7"/>
    </row>
    <row r="56" spans="1:39" x14ac:dyDescent="0.2">
      <c r="A56" s="1196"/>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7"/>
    </row>
    <row r="57" spans="1:39" x14ac:dyDescent="0.2">
      <c r="A57" s="1196"/>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7"/>
    </row>
    <row r="58" spans="1:39" x14ac:dyDescent="0.2">
      <c r="A58" s="1196"/>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7"/>
    </row>
    <row r="59" spans="1:39" x14ac:dyDescent="0.2">
      <c r="A59" s="1196"/>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7"/>
    </row>
    <row r="60" spans="1:39" x14ac:dyDescent="0.2">
      <c r="A60" s="1196"/>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7"/>
    </row>
    <row r="61" spans="1:39" x14ac:dyDescent="0.2">
      <c r="A61" s="1196"/>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7"/>
    </row>
    <row r="62" spans="1:39" x14ac:dyDescent="0.2">
      <c r="A62" s="1196"/>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7"/>
    </row>
    <row r="63" spans="1:39" x14ac:dyDescent="0.2">
      <c r="A63" s="1196"/>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7"/>
    </row>
    <row r="64" spans="1:39" x14ac:dyDescent="0.2">
      <c r="A64" s="1196"/>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7"/>
    </row>
    <row r="65" spans="1:33" ht="12" thickBot="1" x14ac:dyDescent="0.25">
      <c r="A65" s="1200"/>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c r="AA65" s="1201"/>
      <c r="AB65" s="1201"/>
      <c r="AC65" s="1201"/>
      <c r="AD65" s="1201"/>
      <c r="AE65" s="1201"/>
      <c r="AF65" s="1201"/>
      <c r="AG65" s="1202"/>
    </row>
    <row r="66" spans="1:33" ht="3.75" customHeight="1" thickTop="1" x14ac:dyDescent="0.2"/>
  </sheetData>
  <sheetProtection autoFilter="0"/>
  <customSheetViews>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s>
  <mergeCells count="13">
    <mergeCell ref="K20:M20"/>
    <mergeCell ref="J14:K14"/>
    <mergeCell ref="J12:K12"/>
    <mergeCell ref="J10:K10"/>
    <mergeCell ref="J6:K6"/>
    <mergeCell ref="J8:K8"/>
    <mergeCell ref="J18:K18"/>
    <mergeCell ref="A1:AF1"/>
    <mergeCell ref="A16:G16"/>
    <mergeCell ref="A18:I18"/>
    <mergeCell ref="J4:K4"/>
    <mergeCell ref="AD4:AE4"/>
    <mergeCell ref="AD6:AE6"/>
  </mergeCells>
  <conditionalFormatting sqref="Q21:Q49">
    <cfRule type="cellIs" dxfId="20" priority="26" operator="between">
      <formula>-20</formula>
      <formula>50</formula>
    </cfRule>
  </conditionalFormatting>
  <conditionalFormatting sqref="M21:M49 K21:K49">
    <cfRule type="cellIs" dxfId="19" priority="53" operator="greaterThan">
      <formula>$AF$12</formula>
    </cfRule>
  </conditionalFormatting>
  <printOptions horizontalCentered="1"/>
  <pageMargins left="0.35433070866141736" right="0.35433070866141736" top="0.70866141732283472" bottom="0.31496062992125984" header="0.31496062992125984" footer="0"/>
  <pageSetup paperSize="9" scale="61" orientation="landscape" r:id="rId2"/>
  <headerFooter>
    <oddFooter>&amp;L&amp;F&amp;A&amp;R&amp;D&amp;T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289" r:id="rId5" name="Drop Down 1">
              <controlPr defaultSize="0" autoLine="0" autoPict="0">
                <anchor moveWithCells="1">
                  <from>
                    <xdr:col>31</xdr:col>
                    <xdr:colOff>0</xdr:colOff>
                    <xdr:row>3</xdr:row>
                    <xdr:rowOff>38100</xdr:rowOff>
                  </from>
                  <to>
                    <xdr:col>32</xdr:col>
                    <xdr:colOff>28575</xdr:colOff>
                    <xdr:row>3</xdr:row>
                    <xdr:rowOff>295275</xdr:rowOff>
                  </to>
                </anchor>
              </controlPr>
            </control>
          </mc:Choice>
        </mc:AlternateContent>
        <mc:AlternateContent xmlns:mc="http://schemas.openxmlformats.org/markup-compatibility/2006">
          <mc:Choice Requires="x14">
            <control shapeId="12291" r:id="rId6" name="Spinner 3">
              <controlPr defaultSize="0" print="0" autoPict="0">
                <anchor moveWithCells="1" sizeWithCells="1">
                  <from>
                    <xdr:col>31</xdr:col>
                    <xdr:colOff>685800</xdr:colOff>
                    <xdr:row>16</xdr:row>
                    <xdr:rowOff>57150</xdr:rowOff>
                  </from>
                  <to>
                    <xdr:col>32</xdr:col>
                    <xdr:colOff>0</xdr:colOff>
                    <xdr:row>18</xdr:row>
                    <xdr:rowOff>0</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9525</xdr:rowOff>
                  </from>
                  <to>
                    <xdr:col>32</xdr:col>
                    <xdr:colOff>0</xdr:colOff>
                    <xdr:row>12</xdr:row>
                    <xdr:rowOff>9525</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9525</xdr:colOff>
                    <xdr:row>5</xdr:row>
                    <xdr:rowOff>9525</xdr:rowOff>
                  </from>
                  <to>
                    <xdr:col>32</xdr:col>
                    <xdr:colOff>19050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20" operator="between" id="{37C76508-07AA-4877-A85E-F6BDE54C6A89}">
            <xm:f>Einstellungen!$E$27</xm:f>
            <xm:f>Einstellungen!$F$27</xm:f>
            <x14:dxf>
              <font>
                <color theme="1"/>
              </font>
            </x14:dxf>
          </x14:cfRule>
          <xm:sqref>AD21:AD49</xm:sqref>
        </x14:conditionalFormatting>
        <x14:conditionalFormatting xmlns:xm="http://schemas.microsoft.com/office/excel/2006/main">
          <x14:cfRule type="cellIs" priority="17" operator="greaterThan" id="{F31CFC65-F962-4CE2-B600-A4C2DC01664A}">
            <xm:f>Einstellungen!$F$9</xm:f>
            <x14:dxf>
              <font>
                <color rgb="FFFF0000"/>
              </font>
              <fill>
                <patternFill patternType="solid">
                  <bgColor rgb="FFFFFFDD"/>
                </patternFill>
              </fill>
            </x14:dxf>
          </x14:cfRule>
          <xm:sqref>R21:R49</xm:sqref>
        </x14:conditionalFormatting>
        <x14:conditionalFormatting xmlns:xm="http://schemas.microsoft.com/office/excel/2006/main">
          <x14:cfRule type="cellIs" priority="15" operator="lessThan" id="{D389DC63-BCA7-461E-96CB-2E379ECA54AA}">
            <xm:f>Einstellungen!$E$11</xm:f>
            <x14:dxf>
              <font>
                <color rgb="FFFF0000"/>
              </font>
              <fill>
                <patternFill>
                  <bgColor rgb="FFFFFFDD"/>
                </patternFill>
              </fill>
            </x14:dxf>
          </x14:cfRule>
          <xm:sqref>T21:T49</xm:sqref>
        </x14:conditionalFormatting>
        <x14:conditionalFormatting xmlns:xm="http://schemas.microsoft.com/office/excel/2006/main">
          <x14:cfRule type="cellIs" priority="14" operator="lessThan" id="{7D577732-E957-47A1-8B9A-9F77CAFFD2B3}">
            <xm:f>Einstellungen!$E$12</xm:f>
            <x14:dxf>
              <font>
                <color rgb="FFFF0000"/>
              </font>
              <fill>
                <patternFill>
                  <bgColor rgb="FFFFFFDD"/>
                </patternFill>
              </fill>
            </x14:dxf>
          </x14:cfRule>
          <xm:sqref>U21:U49</xm:sqref>
        </x14:conditionalFormatting>
        <x14:conditionalFormatting xmlns:xm="http://schemas.microsoft.com/office/excel/2006/main">
          <x14:cfRule type="cellIs" priority="10" operator="between" id="{E50EC5B7-3A6B-40C2-8426-8DF9459D9974}">
            <xm:f>"((A26*Einstellungen!$D$19+b26*Einstellungen!$C$19)/b26)*Einstellungen!$E$19"</xm:f>
            <xm:f>((A21*Einstellungen!$D$19+F21*Einstellungen!$C$19)/F21)*Einstellungen!$F$19</xm:f>
            <x14:dxf>
              <font>
                <color rgb="FFFF0000"/>
              </font>
              <fill>
                <patternFill>
                  <bgColor rgb="FFFFFFDD"/>
                </patternFill>
              </fill>
            </x14:dxf>
          </x14:cfRule>
          <xm:sqref>W21:W49</xm:sqref>
        </x14:conditionalFormatting>
        <x14:conditionalFormatting xmlns:xm="http://schemas.microsoft.com/office/excel/2006/main">
          <x14:cfRule type="cellIs" priority="9" operator="between" id="{E2D6DC44-E415-42BB-9058-414B15EF1048}">
            <xm:f>"((A26*Einstellungen!$D$21+b26*Einstellungen!$C$21)/b26)*Einstellungen!$E$21"</xm:f>
            <xm:f>((A21*Einstellungen!$D$21+F21*Einstellungen!$C$21)/F21)*Einstellungen!$F$21</xm:f>
            <x14:dxf>
              <font>
                <color rgb="FFFF0000"/>
              </font>
              <fill>
                <patternFill>
                  <bgColor rgb="FFFFFFDD"/>
                </patternFill>
              </fill>
            </x14:dxf>
          </x14:cfRule>
          <xm:sqref>Y21:Y49</xm:sqref>
        </x14:conditionalFormatting>
        <x14:conditionalFormatting xmlns:xm="http://schemas.microsoft.com/office/excel/2006/main">
          <x14:cfRule type="cellIs" priority="8" operator="between" id="{E7733AA5-5626-4F46-85A3-418D80932D25}">
            <xm:f>"((A26*Einstellungen!$D$20+b26*Einstellungen!$C$20)/b26)*Einstellungen!$E$20"</xm:f>
            <xm:f>((A21*Einstellungen!$D$20+F21*Einstellungen!$C$20)/F21)*Einstellungen!$F$20</xm:f>
            <x14:dxf>
              <font>
                <color rgb="FFFF0000"/>
              </font>
              <fill>
                <patternFill>
                  <bgColor rgb="FFFFFFDD"/>
                </patternFill>
              </fill>
            </x14:dxf>
          </x14:cfRule>
          <xm:sqref>X21:X49</xm:sqref>
        </x14:conditionalFormatting>
        <x14:conditionalFormatting xmlns:xm="http://schemas.microsoft.com/office/excel/2006/main">
          <x14:cfRule type="cellIs" priority="7" operator="between" id="{40D5C4CA-09A9-44C1-A86D-EEB9C499D692}">
            <xm:f>"((A26*Einstellungen!$D$22+b26*Einstellungen!$C$22)/b26)*Einstellungen!$E$22"</xm:f>
            <xm:f>((A21*Einstellungen!$D$22+F21*Einstellungen!$C$22)/F21)*Einstellungen!$F$22</xm:f>
            <x14:dxf>
              <font>
                <color rgb="FFFF0000"/>
              </font>
              <fill>
                <patternFill>
                  <bgColor rgb="FFFFFFDD"/>
                </patternFill>
              </fill>
            </x14:dxf>
          </x14:cfRule>
          <xm:sqref>Z21:Z49</xm:sqref>
        </x14:conditionalFormatting>
        <x14:conditionalFormatting xmlns:xm="http://schemas.microsoft.com/office/excel/2006/main">
          <x14:cfRule type="cellIs" priority="6" operator="between" id="{9B57B85C-89DD-46E2-AE9E-AB9CF2581AA0}">
            <xm:f>"((A26*Einstellungen!$D$23+b26*Einstellungen!$C$23)/b26)*Einstellungen!$E$23"</xm:f>
            <xm:f>((A21*Einstellungen!$D$23+F21*Einstellungen!$C$23)/F21)*Einstellungen!$F$23</xm:f>
            <x14:dxf>
              <font>
                <color rgb="FFFF0000"/>
              </font>
              <fill>
                <patternFill>
                  <bgColor rgb="FFFFFFDD"/>
                </patternFill>
              </fill>
            </x14:dxf>
          </x14:cfRule>
          <xm:sqref>AA21:AA49</xm:sqref>
        </x14:conditionalFormatting>
        <x14:conditionalFormatting xmlns:xm="http://schemas.microsoft.com/office/excel/2006/main">
          <x14:cfRule type="cellIs" priority="5" operator="between" id="{553BC9A6-EE76-4B74-B6EE-CA2B93B4AFA6}">
            <xm:f>"((A26*Einstellungen!$D$24+b26*Einstellungen!$C$24)/b26)*Einstellungen!$E$24"</xm:f>
            <xm:f>((A21*Einstellungen!$D$24+F21*Einstellungen!$C$24)/F21)*Einstellungen!$F$24</xm:f>
            <x14:dxf>
              <font>
                <color rgb="FFFF0000"/>
              </font>
              <fill>
                <patternFill>
                  <bgColor rgb="FFFFFFDD"/>
                </patternFill>
              </fill>
            </x14:dxf>
          </x14:cfRule>
          <xm:sqref>AB21:AB49</xm:sqref>
        </x14:conditionalFormatting>
        <x14:conditionalFormatting xmlns:xm="http://schemas.microsoft.com/office/excel/2006/main">
          <x14:cfRule type="cellIs" priority="2" operator="greaterThan" id="{C4A2415F-DBE6-47C3-BB0D-87813CB6186B}">
            <xm:f>Einstellungen!$F$9</xm:f>
            <x14:dxf>
              <font>
                <color rgb="FFFF0000"/>
              </font>
              <fill>
                <patternFill patternType="solid">
                  <bgColor rgb="FFFFFFDD"/>
                </patternFill>
              </fill>
            </x14:dxf>
          </x14:cfRule>
          <xm:sqref>S21:S49</xm:sqref>
        </x14:conditionalFormatting>
        <x14:conditionalFormatting xmlns:xm="http://schemas.microsoft.com/office/excel/2006/main">
          <x14:cfRule type="cellIs" priority="1" operator="between" id="{F65117BC-21B6-4FBE-8C97-AE735488AB2E}">
            <xm:f>Einstellungen!$E$27</xm:f>
            <xm:f>Einstellungen!$F$27</xm:f>
            <x14:dxf>
              <font>
                <color theme="1"/>
              </font>
            </x14:dxf>
          </x14:cfRule>
          <xm:sqref>AC21:AC49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
  <sheetViews>
    <sheetView workbookViewId="0"/>
  </sheetViews>
  <sheetFormatPr baseColWidth="10" defaultRowHeight="12.75" x14ac:dyDescent="0.2"/>
  <sheetData/>
  <customSheetViews>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249977111117893"/>
    <pageSetUpPr fitToPage="1"/>
  </sheetPr>
  <dimension ref="A1:BG72"/>
  <sheetViews>
    <sheetView showGridLines="0" showRowColHeaders="0" showZeros="0" topLeftCell="A7" zoomScale="80" zoomScaleNormal="80" workbookViewId="0">
      <selection activeCell="AX35" sqref="AX35"/>
    </sheetView>
  </sheetViews>
  <sheetFormatPr baseColWidth="10" defaultColWidth="0" defaultRowHeight="12" outlineLevelCol="1" x14ac:dyDescent="0.2"/>
  <cols>
    <col min="1" max="1" width="1.5703125" style="559" customWidth="1"/>
    <col min="2" max="2" width="9.140625" style="560" customWidth="1"/>
    <col min="3" max="3" width="28" style="560" customWidth="1"/>
    <col min="4" max="21" width="9.42578125" style="561" hidden="1" customWidth="1" outlineLevel="1"/>
    <col min="22" max="22" width="10.140625" style="561" hidden="1" customWidth="1" outlineLevel="1"/>
    <col min="23" max="27" width="9.42578125" style="561" hidden="1" customWidth="1" outlineLevel="1"/>
    <col min="28" max="28" width="12.85546875" style="561" customWidth="1" collapsed="1"/>
    <col min="29" max="36" width="12.85546875" style="561" customWidth="1"/>
    <col min="37" max="37" width="1.140625" style="561" customWidth="1"/>
    <col min="38" max="38" width="25.28515625" style="652" customWidth="1"/>
    <col min="39" max="39" width="10.5703125" style="562" customWidth="1"/>
    <col min="40" max="47" width="9.7109375" style="562" customWidth="1"/>
    <col min="48" max="48" width="18.7109375" style="560" customWidth="1"/>
    <col min="49" max="58" width="9.7109375" style="560" customWidth="1"/>
    <col min="59" max="59" width="0.5703125" style="560" customWidth="1"/>
    <col min="60" max="16384" width="11.42578125" style="560" hidden="1"/>
  </cols>
  <sheetData>
    <row r="1" spans="1:58" ht="34.5" customHeight="1" thickBot="1" x14ac:dyDescent="0.25">
      <c r="AL1" s="653" t="s">
        <v>284</v>
      </c>
      <c r="AM1" s="1515"/>
      <c r="AN1" s="1515"/>
      <c r="AV1" s="562"/>
      <c r="AW1" s="562"/>
      <c r="AX1" s="562"/>
      <c r="AY1" s="562"/>
      <c r="AZ1" s="562"/>
      <c r="BA1" s="562"/>
      <c r="BB1" s="562"/>
      <c r="BC1" s="562"/>
      <c r="BD1" s="562"/>
      <c r="BE1" s="562"/>
      <c r="BF1" s="562"/>
    </row>
    <row r="2" spans="1:58" ht="41.45" customHeight="1" thickTop="1" thickBot="1" x14ac:dyDescent="0.25">
      <c r="B2" s="1518"/>
      <c r="C2" s="1519"/>
      <c r="D2" s="563" t="str">
        <f>Futterwerte!C6</f>
        <v>TS</v>
      </c>
      <c r="E2" s="563" t="str">
        <f>Futterwerte!D6</f>
        <v>NEL</v>
      </c>
      <c r="F2" s="563" t="str">
        <f>Futterwerte!E6</f>
        <v>ME</v>
      </c>
      <c r="G2" s="563" t="str">
        <f>Futterwerte!F6</f>
        <v>XP</v>
      </c>
      <c r="H2" s="563" t="str">
        <f>Futterwerte!G6</f>
        <v>UDP</v>
      </c>
      <c r="I2" s="563" t="str">
        <f>Futterwerte!H6</f>
        <v>nXP</v>
      </c>
      <c r="J2" s="563" t="str">
        <f>Futterwerte!I6</f>
        <v>RNB</v>
      </c>
      <c r="K2" s="563" t="str">
        <f>Futterwerte!G6</f>
        <v>UDP</v>
      </c>
      <c r="L2" s="563" t="str">
        <f>Futterwerte!J6</f>
        <v>SW</v>
      </c>
      <c r="M2" s="563" t="str">
        <f>Futterwerte!K6</f>
        <v>ADF</v>
      </c>
      <c r="N2" s="563" t="str">
        <f>Futterwerte!L6</f>
        <v>NDF</v>
      </c>
      <c r="O2" s="563" t="str">
        <f>Futterwerte!M6</f>
        <v>NFC</v>
      </c>
      <c r="P2" s="563" t="str">
        <f>Futterwerte!O6</f>
        <v>XZ</v>
      </c>
      <c r="Q2" s="563" t="str">
        <f>Futterwerte!P6</f>
        <v>XL</v>
      </c>
      <c r="R2" s="563" t="str">
        <f>Futterwerte!Q6</f>
        <v>XF</v>
      </c>
      <c r="S2" s="563" t="str">
        <f>Futterwerte!R6</f>
        <v>sXF</v>
      </c>
      <c r="T2" s="563" t="str">
        <f>Futterwerte!S6</f>
        <v>XA</v>
      </c>
      <c r="U2" s="563" t="str">
        <f>Futterwerte!T6</f>
        <v>Ca</v>
      </c>
      <c r="V2" s="563" t="str">
        <f>Futterwerte!U6</f>
        <v>P</v>
      </c>
      <c r="W2" s="563" t="str">
        <f>Futterwerte!V6</f>
        <v>Na</v>
      </c>
      <c r="X2" s="563" t="str">
        <f>Futterwerte!W6</f>
        <v>Mg</v>
      </c>
      <c r="Y2" s="563" t="str">
        <f>Futterwerte!X6</f>
        <v>K</v>
      </c>
      <c r="Z2" s="563" t="str">
        <f>Futterwerte!Y6</f>
        <v>Se</v>
      </c>
      <c r="AA2" s="563" t="str">
        <f>Futterwerte!Z6</f>
        <v>Kosten</v>
      </c>
      <c r="AB2" s="564" t="s">
        <v>449</v>
      </c>
      <c r="AC2" s="564" t="s">
        <v>449</v>
      </c>
      <c r="AD2" s="564" t="s">
        <v>449</v>
      </c>
      <c r="AE2" s="564" t="s">
        <v>449</v>
      </c>
      <c r="AF2" s="564" t="s">
        <v>449</v>
      </c>
      <c r="AG2" s="1147" t="s">
        <v>449</v>
      </c>
      <c r="AH2" s="564" t="s">
        <v>449</v>
      </c>
      <c r="AI2" s="565" t="s">
        <v>449</v>
      </c>
      <c r="AJ2" s="566" t="s">
        <v>449</v>
      </c>
      <c r="AL2" s="567"/>
      <c r="AM2" s="568" t="str">
        <f t="shared" ref="AM2:AU2" si="0">AB2</f>
        <v>Ration ...</v>
      </c>
      <c r="AN2" s="568" t="str">
        <f t="shared" si="0"/>
        <v>Ration ...</v>
      </c>
      <c r="AO2" s="568" t="str">
        <f t="shared" si="0"/>
        <v>Ration ...</v>
      </c>
      <c r="AP2" s="568" t="str">
        <f t="shared" si="0"/>
        <v>Ration ...</v>
      </c>
      <c r="AQ2" s="568" t="str">
        <f t="shared" si="0"/>
        <v>Ration ...</v>
      </c>
      <c r="AR2" s="568" t="str">
        <f t="shared" si="0"/>
        <v>Ration ...</v>
      </c>
      <c r="AS2" s="568" t="str">
        <f t="shared" si="0"/>
        <v>Ration ...</v>
      </c>
      <c r="AT2" s="568" t="str">
        <f t="shared" si="0"/>
        <v>Ration ...</v>
      </c>
      <c r="AU2" s="569" t="str">
        <f t="shared" si="0"/>
        <v>Ration ...</v>
      </c>
      <c r="AV2" s="570"/>
      <c r="AW2" s="1522" t="str">
        <f>AM2</f>
        <v>Ration ...</v>
      </c>
      <c r="AX2" s="1524" t="str">
        <f t="shared" ref="AX2:BC2" si="1">AN2</f>
        <v>Ration ...</v>
      </c>
      <c r="AY2" s="1524" t="str">
        <f t="shared" si="1"/>
        <v>Ration ...</v>
      </c>
      <c r="AZ2" s="1524" t="str">
        <f t="shared" si="1"/>
        <v>Ration ...</v>
      </c>
      <c r="BA2" s="1524" t="str">
        <f t="shared" si="1"/>
        <v>Ration ...</v>
      </c>
      <c r="BB2" s="1524" t="str">
        <f t="shared" si="1"/>
        <v>Ration ...</v>
      </c>
      <c r="BC2" s="1524" t="str">
        <f t="shared" si="1"/>
        <v>Ration ...</v>
      </c>
      <c r="BD2" s="1524" t="str">
        <f>AT2</f>
        <v>Ration ...</v>
      </c>
      <c r="BE2" s="1526" t="str">
        <f>AU2</f>
        <v>Ration ...</v>
      </c>
      <c r="BF2" s="1516" t="s">
        <v>261</v>
      </c>
    </row>
    <row r="3" spans="1:58" ht="20.25" customHeight="1" thickBot="1" x14ac:dyDescent="0.25">
      <c r="B3" s="1520" t="s">
        <v>246</v>
      </c>
      <c r="C3" s="1521"/>
      <c r="D3" s="571"/>
      <c r="E3" s="571"/>
      <c r="F3" s="571"/>
      <c r="G3" s="571"/>
      <c r="H3" s="571"/>
      <c r="I3" s="571"/>
      <c r="J3" s="571"/>
      <c r="K3" s="571"/>
      <c r="L3" s="571"/>
      <c r="M3" s="571"/>
      <c r="N3" s="571"/>
      <c r="O3" s="571"/>
      <c r="P3" s="571"/>
      <c r="Q3" s="571"/>
      <c r="R3" s="571"/>
      <c r="S3" s="571"/>
      <c r="T3" s="571"/>
      <c r="U3" s="571"/>
      <c r="V3" s="571"/>
      <c r="W3" s="571"/>
      <c r="X3" s="571"/>
      <c r="Y3" s="571"/>
      <c r="Z3" s="571"/>
      <c r="AA3" s="571"/>
      <c r="AB3" s="572" t="s">
        <v>166</v>
      </c>
      <c r="AC3" s="573" t="s">
        <v>166</v>
      </c>
      <c r="AD3" s="573" t="s">
        <v>166</v>
      </c>
      <c r="AE3" s="573" t="s">
        <v>166</v>
      </c>
      <c r="AF3" s="573" t="s">
        <v>166</v>
      </c>
      <c r="AG3" s="573" t="s">
        <v>166</v>
      </c>
      <c r="AH3" s="573" t="s">
        <v>166</v>
      </c>
      <c r="AI3" s="574" t="s">
        <v>166</v>
      </c>
      <c r="AJ3" s="575" t="s">
        <v>166</v>
      </c>
      <c r="AL3" s="1350" t="s">
        <v>247</v>
      </c>
      <c r="AM3" s="1351">
        <f>AB25</f>
        <v>0</v>
      </c>
      <c r="AN3" s="1351">
        <f t="shared" ref="AN3:AU3" si="2">AC25</f>
        <v>0</v>
      </c>
      <c r="AO3" s="1351">
        <f t="shared" si="2"/>
        <v>0</v>
      </c>
      <c r="AP3" s="1351">
        <f t="shared" si="2"/>
        <v>0</v>
      </c>
      <c r="AQ3" s="1351">
        <f t="shared" si="2"/>
        <v>0</v>
      </c>
      <c r="AR3" s="1351">
        <f t="shared" si="2"/>
        <v>0</v>
      </c>
      <c r="AS3" s="1351">
        <f t="shared" si="2"/>
        <v>0</v>
      </c>
      <c r="AT3" s="1351">
        <f t="shared" si="2"/>
        <v>0</v>
      </c>
      <c r="AU3" s="1351">
        <f t="shared" si="2"/>
        <v>0</v>
      </c>
      <c r="AV3" s="576"/>
      <c r="AW3" s="1523"/>
      <c r="AX3" s="1525"/>
      <c r="AY3" s="1525"/>
      <c r="AZ3" s="1525"/>
      <c r="BA3" s="1525"/>
      <c r="BB3" s="1525"/>
      <c r="BC3" s="1525"/>
      <c r="BD3" s="1525"/>
      <c r="BE3" s="1527"/>
      <c r="BF3" s="1517"/>
    </row>
    <row r="4" spans="1:58" ht="20.25" customHeight="1" thickBot="1" x14ac:dyDescent="0.25">
      <c r="A4" s="577">
        <v>70</v>
      </c>
      <c r="B4" s="674">
        <f t="shared" ref="B4:B23" si="3">INDEX(Tabelle,$A4,1)</f>
        <v>0</v>
      </c>
      <c r="C4" s="675"/>
      <c r="D4" s="579">
        <f t="shared" ref="D4:D23" si="4">IF(INDEX(Tabelle,$A4,2)=0,0,INDEX(Tabelle,$A4,2)/10)</f>
        <v>0</v>
      </c>
      <c r="E4" s="580">
        <f t="shared" ref="E4:E23" si="5">INDEX(Tabelle,$A4,3)</f>
        <v>0</v>
      </c>
      <c r="F4" s="580">
        <f t="shared" ref="F4:F23" si="6">INDEX(Tabelle,$A4,4)</f>
        <v>0</v>
      </c>
      <c r="G4" s="581">
        <f t="shared" ref="G4:G23" si="7">INDEX(Tabelle,$A4,5)</f>
        <v>0</v>
      </c>
      <c r="H4" s="1267">
        <f t="shared" ref="H4:H23" si="8">INDEX(Tabelle,$A4,6)</f>
        <v>0</v>
      </c>
      <c r="I4" s="581">
        <f t="shared" ref="I4:I23" si="9">INDEX(Tabelle,$A4,7)</f>
        <v>0</v>
      </c>
      <c r="J4" s="580">
        <f t="shared" ref="J4:J23" si="10">INDEX(Tabelle,$A4,8)</f>
        <v>0</v>
      </c>
      <c r="K4" s="1413">
        <f t="shared" ref="K4:K23" si="11">INDEX(Tabelle,$A4,6)</f>
        <v>0</v>
      </c>
      <c r="L4" s="580">
        <f t="shared" ref="L4:L23" si="12">INDEX(Tabelle,$A4,9)</f>
        <v>0</v>
      </c>
      <c r="M4" s="581">
        <f t="shared" ref="M4:M23" si="13">INDEX(Tabelle,$A4,10)</f>
        <v>0</v>
      </c>
      <c r="N4" s="581">
        <f t="shared" ref="N4:N23" si="14">INDEX(Tabelle,$A4,11)</f>
        <v>0</v>
      </c>
      <c r="O4" s="581">
        <f t="shared" ref="O4:O23" si="15">INDEX(Tabelle,$A4,12)</f>
        <v>0</v>
      </c>
      <c r="P4" s="581">
        <f t="shared" ref="P4:P23" si="16">INDEX(Tabelle,$A4,14)</f>
        <v>0</v>
      </c>
      <c r="Q4" s="581">
        <f t="shared" ref="Q4:Q23" si="17">INDEX(Tabelle,$A4,15)</f>
        <v>0</v>
      </c>
      <c r="R4" s="581">
        <f t="shared" ref="R4:R23" si="18">INDEX(Tabelle,$A4,16)</f>
        <v>0</v>
      </c>
      <c r="S4" s="580">
        <f t="shared" ref="S4:S23" si="19">INDEX(Tabelle,$A4,17)</f>
        <v>0</v>
      </c>
      <c r="T4" s="581">
        <f t="shared" ref="T4:T19" si="20">INDEX(Tabelle,$A4,18)</f>
        <v>0</v>
      </c>
      <c r="U4" s="580">
        <f t="shared" ref="U4:U23" si="21">INDEX(Tabelle,$A4,19)</f>
        <v>0</v>
      </c>
      <c r="V4" s="580">
        <f t="shared" ref="V4:V23" si="22">INDEX(Tabelle,$A4,20)</f>
        <v>0</v>
      </c>
      <c r="W4" s="580">
        <f t="shared" ref="W4:W23" si="23">INDEX(Tabelle,$A4,21)</f>
        <v>0</v>
      </c>
      <c r="X4" s="580">
        <f t="shared" ref="X4:X23" si="24">INDEX(Tabelle,$A4,22)</f>
        <v>0</v>
      </c>
      <c r="Y4" s="580">
        <f t="shared" ref="Y4:Y23" si="25">INDEX(Tabelle,$A4,23)</f>
        <v>0</v>
      </c>
      <c r="Z4" s="580">
        <f t="shared" ref="Z4:Z23" si="26">INDEX(Tabelle,$A4,24)</f>
        <v>0</v>
      </c>
      <c r="AA4" s="1414" t="e">
        <f>INDEX(Tabelle,$A4,25)/D4</f>
        <v>#DIV/0!</v>
      </c>
      <c r="AB4" s="582"/>
      <c r="AC4" s="583"/>
      <c r="AD4" s="583"/>
      <c r="AE4" s="583"/>
      <c r="AF4" s="583"/>
      <c r="AG4" s="583"/>
      <c r="AH4" s="583"/>
      <c r="AI4" s="584"/>
      <c r="AJ4" s="585"/>
      <c r="AL4" s="586">
        <f>B4</f>
        <v>0</v>
      </c>
      <c r="AM4" s="587">
        <f>IF(AB4=0,0,IF(AB$3="TM",AB4/$D4*100,AB4))</f>
        <v>0</v>
      </c>
      <c r="AN4" s="587">
        <f t="shared" ref="AN4:AU19" si="27">IF(AC4=0,0,IF(AC$3="TM",AC4/$D4*100,AC4))</f>
        <v>0</v>
      </c>
      <c r="AO4" s="587">
        <f t="shared" si="27"/>
        <v>0</v>
      </c>
      <c r="AP4" s="587">
        <f t="shared" si="27"/>
        <v>0</v>
      </c>
      <c r="AQ4" s="587">
        <f t="shared" si="27"/>
        <v>0</v>
      </c>
      <c r="AR4" s="587">
        <f t="shared" si="27"/>
        <v>0</v>
      </c>
      <c r="AS4" s="587">
        <f t="shared" si="27"/>
        <v>0</v>
      </c>
      <c r="AT4" s="587">
        <f t="shared" si="27"/>
        <v>0</v>
      </c>
      <c r="AU4" s="587">
        <f t="shared" si="27"/>
        <v>0</v>
      </c>
      <c r="AV4" s="576"/>
      <c r="AW4" s="588">
        <f>AM$3*AM4</f>
        <v>0</v>
      </c>
      <c r="AX4" s="589">
        <f t="shared" ref="AX4:BE4" si="28">AN$3*AN4</f>
        <v>0</v>
      </c>
      <c r="AY4" s="589">
        <f t="shared" si="28"/>
        <v>0</v>
      </c>
      <c r="AZ4" s="589">
        <f t="shared" si="28"/>
        <v>0</v>
      </c>
      <c r="BA4" s="589">
        <f t="shared" si="28"/>
        <v>0</v>
      </c>
      <c r="BB4" s="589">
        <f t="shared" si="28"/>
        <v>0</v>
      </c>
      <c r="BC4" s="589">
        <f t="shared" si="28"/>
        <v>0</v>
      </c>
      <c r="BD4" s="589">
        <f t="shared" si="28"/>
        <v>0</v>
      </c>
      <c r="BE4" s="590">
        <f t="shared" si="28"/>
        <v>0</v>
      </c>
      <c r="BF4" s="591">
        <f>SUM(AW4:BE4)</f>
        <v>0</v>
      </c>
    </row>
    <row r="5" spans="1:58" ht="20.25" customHeight="1" thickBot="1" x14ac:dyDescent="0.25">
      <c r="A5" s="577">
        <v>174</v>
      </c>
      <c r="B5" s="592">
        <f t="shared" si="3"/>
        <v>0</v>
      </c>
      <c r="C5" s="578"/>
      <c r="D5" s="593">
        <f t="shared" si="4"/>
        <v>0</v>
      </c>
      <c r="E5" s="594">
        <f t="shared" si="5"/>
        <v>0</v>
      </c>
      <c r="F5" s="594">
        <f t="shared" si="6"/>
        <v>0</v>
      </c>
      <c r="G5" s="595">
        <f t="shared" si="7"/>
        <v>0</v>
      </c>
      <c r="H5" s="1268">
        <f t="shared" si="8"/>
        <v>0</v>
      </c>
      <c r="I5" s="595">
        <f t="shared" si="9"/>
        <v>0</v>
      </c>
      <c r="J5" s="594">
        <f t="shared" si="10"/>
        <v>0</v>
      </c>
      <c r="K5" s="1421">
        <f t="shared" si="11"/>
        <v>0</v>
      </c>
      <c r="L5" s="594">
        <f t="shared" si="12"/>
        <v>0</v>
      </c>
      <c r="M5" s="595">
        <f t="shared" si="13"/>
        <v>0</v>
      </c>
      <c r="N5" s="595">
        <f t="shared" si="14"/>
        <v>0</v>
      </c>
      <c r="O5" s="595">
        <f t="shared" si="15"/>
        <v>0</v>
      </c>
      <c r="P5" s="595">
        <f t="shared" si="16"/>
        <v>0</v>
      </c>
      <c r="Q5" s="595">
        <f t="shared" si="17"/>
        <v>0</v>
      </c>
      <c r="R5" s="595">
        <f t="shared" si="18"/>
        <v>0</v>
      </c>
      <c r="S5" s="594">
        <f t="shared" si="19"/>
        <v>0</v>
      </c>
      <c r="T5" s="595">
        <f t="shared" si="20"/>
        <v>0</v>
      </c>
      <c r="U5" s="594">
        <f t="shared" si="21"/>
        <v>0</v>
      </c>
      <c r="V5" s="594">
        <f t="shared" si="22"/>
        <v>0</v>
      </c>
      <c r="W5" s="594">
        <f t="shared" si="23"/>
        <v>0</v>
      </c>
      <c r="X5" s="594">
        <f t="shared" si="24"/>
        <v>0</v>
      </c>
      <c r="Y5" s="580">
        <f t="shared" si="25"/>
        <v>0</v>
      </c>
      <c r="Z5" s="580">
        <f t="shared" si="26"/>
        <v>0</v>
      </c>
      <c r="AA5" s="1414">
        <f t="shared" ref="AA5:AA23" si="29">INDEX(Tabelle,$A5,25)/100</f>
        <v>0</v>
      </c>
      <c r="AB5" s="582"/>
      <c r="AC5" s="583"/>
      <c r="AD5" s="583"/>
      <c r="AE5" s="583"/>
      <c r="AF5" s="583"/>
      <c r="AG5" s="583"/>
      <c r="AH5" s="583"/>
      <c r="AI5" s="584"/>
      <c r="AJ5" s="585"/>
      <c r="AL5" s="596">
        <f t="shared" ref="AL5:AL24" si="30">B5</f>
        <v>0</v>
      </c>
      <c r="AM5" s="587">
        <f t="shared" ref="AM5:AM11" si="31">IF(AB5=0,0,IF(AB$3="TM",AB5/$D5*100,AB5))</f>
        <v>0</v>
      </c>
      <c r="AN5" s="587">
        <f t="shared" si="27"/>
        <v>0</v>
      </c>
      <c r="AO5" s="587">
        <f t="shared" si="27"/>
        <v>0</v>
      </c>
      <c r="AP5" s="587">
        <f t="shared" si="27"/>
        <v>0</v>
      </c>
      <c r="AQ5" s="587">
        <f t="shared" si="27"/>
        <v>0</v>
      </c>
      <c r="AR5" s="587">
        <f t="shared" si="27"/>
        <v>0</v>
      </c>
      <c r="AS5" s="587">
        <f t="shared" si="27"/>
        <v>0</v>
      </c>
      <c r="AT5" s="587">
        <f t="shared" si="27"/>
        <v>0</v>
      </c>
      <c r="AU5" s="587">
        <f t="shared" si="27"/>
        <v>0</v>
      </c>
      <c r="AV5" s="576"/>
      <c r="AW5" s="597">
        <f t="shared" ref="AW5:AW24" si="32">AM$3*AM5</f>
        <v>0</v>
      </c>
      <c r="AX5" s="598">
        <f t="shared" ref="AX5:AX24" si="33">AN$3*AN5</f>
        <v>0</v>
      </c>
      <c r="AY5" s="598">
        <f t="shared" ref="AY5:AY24" si="34">AO$3*AO5</f>
        <v>0</v>
      </c>
      <c r="AZ5" s="598">
        <f t="shared" ref="AZ5:AZ24" si="35">AP$3*AP5</f>
        <v>0</v>
      </c>
      <c r="BA5" s="598">
        <f t="shared" ref="BA5:BA24" si="36">AQ$3*AQ5</f>
        <v>0</v>
      </c>
      <c r="BB5" s="598">
        <f t="shared" ref="BB5:BB24" si="37">AR$3*AR5</f>
        <v>0</v>
      </c>
      <c r="BC5" s="598">
        <f t="shared" ref="BC5:BC24" si="38">AS$3*AS5</f>
        <v>0</v>
      </c>
      <c r="BD5" s="598">
        <f t="shared" ref="BD5:BD24" si="39">AT$3*AT5</f>
        <v>0</v>
      </c>
      <c r="BE5" s="599">
        <f t="shared" ref="BE5:BE24" si="40">AU$3*AU5</f>
        <v>0</v>
      </c>
      <c r="BF5" s="600">
        <f t="shared" ref="BF5:BF24" si="41">SUM(AW5:BE5)</f>
        <v>0</v>
      </c>
    </row>
    <row r="6" spans="1:58" ht="20.25" customHeight="1" thickBot="1" x14ac:dyDescent="0.25">
      <c r="A6" s="577">
        <v>71</v>
      </c>
      <c r="B6" s="592">
        <f t="shared" si="3"/>
        <v>0</v>
      </c>
      <c r="C6" s="578"/>
      <c r="D6" s="593">
        <f t="shared" si="4"/>
        <v>1.0000000000000001E-5</v>
      </c>
      <c r="E6" s="594">
        <f t="shared" si="5"/>
        <v>1E-4</v>
      </c>
      <c r="F6" s="594">
        <f t="shared" si="6"/>
        <v>1E-4</v>
      </c>
      <c r="G6" s="595">
        <f t="shared" si="7"/>
        <v>1E-4</v>
      </c>
      <c r="H6" s="1268">
        <f t="shared" si="8"/>
        <v>1E-4</v>
      </c>
      <c r="I6" s="595">
        <f t="shared" si="9"/>
        <v>1E-4</v>
      </c>
      <c r="J6" s="594">
        <f t="shared" si="10"/>
        <v>1E-4</v>
      </c>
      <c r="K6" s="1421">
        <f t="shared" si="11"/>
        <v>1E-4</v>
      </c>
      <c r="L6" s="594">
        <f t="shared" si="12"/>
        <v>1E-4</v>
      </c>
      <c r="M6" s="595">
        <f t="shared" si="13"/>
        <v>1E-4</v>
      </c>
      <c r="N6" s="595">
        <f t="shared" si="14"/>
        <v>1E-4</v>
      </c>
      <c r="O6" s="595">
        <f t="shared" si="15"/>
        <v>1E-4</v>
      </c>
      <c r="P6" s="595">
        <f t="shared" si="16"/>
        <v>1E-4</v>
      </c>
      <c r="Q6" s="595">
        <f t="shared" si="17"/>
        <v>1E-4</v>
      </c>
      <c r="R6" s="595">
        <f t="shared" si="18"/>
        <v>1E-4</v>
      </c>
      <c r="S6" s="594">
        <f t="shared" si="19"/>
        <v>1E-4</v>
      </c>
      <c r="T6" s="595">
        <f t="shared" si="20"/>
        <v>1E-4</v>
      </c>
      <c r="U6" s="594">
        <f t="shared" si="21"/>
        <v>1E-4</v>
      </c>
      <c r="V6" s="594">
        <f t="shared" si="22"/>
        <v>1E-4</v>
      </c>
      <c r="W6" s="594">
        <f t="shared" si="23"/>
        <v>1E-4</v>
      </c>
      <c r="X6" s="594">
        <f t="shared" si="24"/>
        <v>1E-4</v>
      </c>
      <c r="Y6" s="580">
        <f t="shared" si="25"/>
        <v>1E-4</v>
      </c>
      <c r="Z6" s="580">
        <f t="shared" si="26"/>
        <v>1E-4</v>
      </c>
      <c r="AA6" s="1414">
        <f t="shared" si="29"/>
        <v>0</v>
      </c>
      <c r="AB6" s="582"/>
      <c r="AC6" s="583"/>
      <c r="AD6" s="583"/>
      <c r="AE6" s="583"/>
      <c r="AF6" s="583"/>
      <c r="AG6" s="583"/>
      <c r="AH6" s="583"/>
      <c r="AI6" s="584"/>
      <c r="AJ6" s="585"/>
      <c r="AL6" s="596">
        <f t="shared" si="30"/>
        <v>0</v>
      </c>
      <c r="AM6" s="587">
        <f t="shared" si="31"/>
        <v>0</v>
      </c>
      <c r="AN6" s="587">
        <f t="shared" si="27"/>
        <v>0</v>
      </c>
      <c r="AO6" s="587">
        <f t="shared" si="27"/>
        <v>0</v>
      </c>
      <c r="AP6" s="587">
        <f t="shared" si="27"/>
        <v>0</v>
      </c>
      <c r="AQ6" s="587">
        <f t="shared" si="27"/>
        <v>0</v>
      </c>
      <c r="AR6" s="587">
        <f t="shared" si="27"/>
        <v>0</v>
      </c>
      <c r="AS6" s="587">
        <f t="shared" si="27"/>
        <v>0</v>
      </c>
      <c r="AT6" s="587">
        <f t="shared" si="27"/>
        <v>0</v>
      </c>
      <c r="AU6" s="587">
        <f t="shared" si="27"/>
        <v>0</v>
      </c>
      <c r="AV6" s="576"/>
      <c r="AW6" s="597">
        <f t="shared" si="32"/>
        <v>0</v>
      </c>
      <c r="AX6" s="598">
        <f t="shared" si="33"/>
        <v>0</v>
      </c>
      <c r="AY6" s="598">
        <f t="shared" si="34"/>
        <v>0</v>
      </c>
      <c r="AZ6" s="598">
        <f t="shared" si="35"/>
        <v>0</v>
      </c>
      <c r="BA6" s="598">
        <f t="shared" si="36"/>
        <v>0</v>
      </c>
      <c r="BB6" s="598">
        <f t="shared" si="37"/>
        <v>0</v>
      </c>
      <c r="BC6" s="598">
        <f t="shared" si="38"/>
        <v>0</v>
      </c>
      <c r="BD6" s="598">
        <f t="shared" si="39"/>
        <v>0</v>
      </c>
      <c r="BE6" s="599">
        <f t="shared" si="40"/>
        <v>0</v>
      </c>
      <c r="BF6" s="600">
        <f t="shared" si="41"/>
        <v>0</v>
      </c>
    </row>
    <row r="7" spans="1:58" ht="20.25" customHeight="1" thickBot="1" x14ac:dyDescent="0.25">
      <c r="A7" s="577">
        <v>26</v>
      </c>
      <c r="B7" s="592">
        <f t="shared" si="3"/>
        <v>0</v>
      </c>
      <c r="C7" s="578"/>
      <c r="D7" s="593">
        <f t="shared" si="4"/>
        <v>0</v>
      </c>
      <c r="E7" s="594">
        <f t="shared" si="5"/>
        <v>0</v>
      </c>
      <c r="F7" s="594">
        <f t="shared" si="6"/>
        <v>0</v>
      </c>
      <c r="G7" s="595">
        <f t="shared" si="7"/>
        <v>0</v>
      </c>
      <c r="H7" s="1268">
        <f t="shared" si="8"/>
        <v>0</v>
      </c>
      <c r="I7" s="595">
        <f t="shared" si="9"/>
        <v>0</v>
      </c>
      <c r="J7" s="594">
        <f t="shared" si="10"/>
        <v>0</v>
      </c>
      <c r="K7" s="1421">
        <f t="shared" si="11"/>
        <v>0</v>
      </c>
      <c r="L7" s="594">
        <f t="shared" si="12"/>
        <v>0</v>
      </c>
      <c r="M7" s="595">
        <f t="shared" si="13"/>
        <v>0</v>
      </c>
      <c r="N7" s="595">
        <f t="shared" si="14"/>
        <v>0</v>
      </c>
      <c r="O7" s="595">
        <f t="shared" si="15"/>
        <v>0</v>
      </c>
      <c r="P7" s="595">
        <f t="shared" si="16"/>
        <v>0</v>
      </c>
      <c r="Q7" s="595">
        <f t="shared" si="17"/>
        <v>0</v>
      </c>
      <c r="R7" s="595">
        <f t="shared" si="18"/>
        <v>0</v>
      </c>
      <c r="S7" s="594">
        <f t="shared" si="19"/>
        <v>0</v>
      </c>
      <c r="T7" s="595">
        <f t="shared" si="20"/>
        <v>0</v>
      </c>
      <c r="U7" s="594">
        <f t="shared" si="21"/>
        <v>0</v>
      </c>
      <c r="V7" s="594">
        <f t="shared" si="22"/>
        <v>0</v>
      </c>
      <c r="W7" s="594">
        <f t="shared" si="23"/>
        <v>0</v>
      </c>
      <c r="X7" s="594">
        <f t="shared" si="24"/>
        <v>0</v>
      </c>
      <c r="Y7" s="580">
        <f t="shared" si="25"/>
        <v>0</v>
      </c>
      <c r="Z7" s="580">
        <f t="shared" si="26"/>
        <v>0</v>
      </c>
      <c r="AA7" s="1414">
        <f t="shared" si="29"/>
        <v>0</v>
      </c>
      <c r="AB7" s="582"/>
      <c r="AC7" s="583"/>
      <c r="AD7" s="583"/>
      <c r="AE7" s="583"/>
      <c r="AF7" s="583"/>
      <c r="AG7" s="583"/>
      <c r="AH7" s="583"/>
      <c r="AI7" s="584"/>
      <c r="AJ7" s="585"/>
      <c r="AL7" s="596">
        <f t="shared" si="30"/>
        <v>0</v>
      </c>
      <c r="AM7" s="587">
        <f t="shared" si="31"/>
        <v>0</v>
      </c>
      <c r="AN7" s="587">
        <f t="shared" si="27"/>
        <v>0</v>
      </c>
      <c r="AO7" s="587">
        <f t="shared" si="27"/>
        <v>0</v>
      </c>
      <c r="AP7" s="587">
        <f t="shared" si="27"/>
        <v>0</v>
      </c>
      <c r="AQ7" s="587">
        <f t="shared" si="27"/>
        <v>0</v>
      </c>
      <c r="AR7" s="587">
        <f t="shared" si="27"/>
        <v>0</v>
      </c>
      <c r="AS7" s="587">
        <f t="shared" si="27"/>
        <v>0</v>
      </c>
      <c r="AT7" s="587">
        <f t="shared" si="27"/>
        <v>0</v>
      </c>
      <c r="AU7" s="587">
        <f t="shared" si="27"/>
        <v>0</v>
      </c>
      <c r="AV7" s="576"/>
      <c r="AW7" s="597">
        <f t="shared" si="32"/>
        <v>0</v>
      </c>
      <c r="AX7" s="598">
        <f t="shared" si="33"/>
        <v>0</v>
      </c>
      <c r="AY7" s="598">
        <f t="shared" si="34"/>
        <v>0</v>
      </c>
      <c r="AZ7" s="598">
        <f t="shared" si="35"/>
        <v>0</v>
      </c>
      <c r="BA7" s="598">
        <f t="shared" si="36"/>
        <v>0</v>
      </c>
      <c r="BB7" s="598">
        <f t="shared" si="37"/>
        <v>0</v>
      </c>
      <c r="BC7" s="598">
        <f t="shared" si="38"/>
        <v>0</v>
      </c>
      <c r="BD7" s="598">
        <f t="shared" si="39"/>
        <v>0</v>
      </c>
      <c r="BE7" s="599">
        <f t="shared" si="40"/>
        <v>0</v>
      </c>
      <c r="BF7" s="600">
        <f t="shared" si="41"/>
        <v>0</v>
      </c>
    </row>
    <row r="8" spans="1:58" ht="20.25" customHeight="1" thickBot="1" x14ac:dyDescent="0.25">
      <c r="A8" s="577">
        <v>8</v>
      </c>
      <c r="B8" s="592">
        <f t="shared" si="3"/>
        <v>0</v>
      </c>
      <c r="C8" s="578"/>
      <c r="D8" s="593">
        <f t="shared" si="4"/>
        <v>0</v>
      </c>
      <c r="E8" s="594">
        <f t="shared" si="5"/>
        <v>0</v>
      </c>
      <c r="F8" s="594">
        <f t="shared" si="6"/>
        <v>0</v>
      </c>
      <c r="G8" s="595">
        <f t="shared" si="7"/>
        <v>0</v>
      </c>
      <c r="H8" s="1268">
        <f t="shared" si="8"/>
        <v>0</v>
      </c>
      <c r="I8" s="595">
        <f t="shared" si="9"/>
        <v>0</v>
      </c>
      <c r="J8" s="594">
        <f t="shared" si="10"/>
        <v>0</v>
      </c>
      <c r="K8" s="1421">
        <f t="shared" si="11"/>
        <v>0</v>
      </c>
      <c r="L8" s="594">
        <f t="shared" si="12"/>
        <v>0</v>
      </c>
      <c r="M8" s="595">
        <f t="shared" si="13"/>
        <v>0</v>
      </c>
      <c r="N8" s="595">
        <f t="shared" si="14"/>
        <v>0</v>
      </c>
      <c r="O8" s="595">
        <f t="shared" si="15"/>
        <v>0</v>
      </c>
      <c r="P8" s="595">
        <f t="shared" si="16"/>
        <v>0</v>
      </c>
      <c r="Q8" s="595">
        <f t="shared" si="17"/>
        <v>0</v>
      </c>
      <c r="R8" s="595">
        <f t="shared" si="18"/>
        <v>0</v>
      </c>
      <c r="S8" s="594">
        <f t="shared" si="19"/>
        <v>0</v>
      </c>
      <c r="T8" s="595">
        <f t="shared" si="20"/>
        <v>0</v>
      </c>
      <c r="U8" s="594">
        <f t="shared" si="21"/>
        <v>0</v>
      </c>
      <c r="V8" s="594">
        <f t="shared" si="22"/>
        <v>0</v>
      </c>
      <c r="W8" s="594">
        <f t="shared" si="23"/>
        <v>0</v>
      </c>
      <c r="X8" s="594">
        <f t="shared" si="24"/>
        <v>0</v>
      </c>
      <c r="Y8" s="580">
        <f t="shared" si="25"/>
        <v>0</v>
      </c>
      <c r="Z8" s="580">
        <f t="shared" si="26"/>
        <v>0</v>
      </c>
      <c r="AA8" s="1414">
        <f t="shared" si="29"/>
        <v>0</v>
      </c>
      <c r="AB8" s="582"/>
      <c r="AC8" s="583"/>
      <c r="AD8" s="583"/>
      <c r="AE8" s="583"/>
      <c r="AF8" s="583"/>
      <c r="AG8" s="583"/>
      <c r="AH8" s="583"/>
      <c r="AI8" s="584"/>
      <c r="AJ8" s="585"/>
      <c r="AL8" s="596">
        <f t="shared" si="30"/>
        <v>0</v>
      </c>
      <c r="AM8" s="587">
        <f t="shared" si="31"/>
        <v>0</v>
      </c>
      <c r="AN8" s="587">
        <f t="shared" si="27"/>
        <v>0</v>
      </c>
      <c r="AO8" s="587">
        <f t="shared" si="27"/>
        <v>0</v>
      </c>
      <c r="AP8" s="587">
        <f t="shared" si="27"/>
        <v>0</v>
      </c>
      <c r="AQ8" s="587">
        <f t="shared" si="27"/>
        <v>0</v>
      </c>
      <c r="AR8" s="587">
        <f t="shared" si="27"/>
        <v>0</v>
      </c>
      <c r="AS8" s="587">
        <f t="shared" si="27"/>
        <v>0</v>
      </c>
      <c r="AT8" s="587">
        <f t="shared" si="27"/>
        <v>0</v>
      </c>
      <c r="AU8" s="587">
        <f t="shared" si="27"/>
        <v>0</v>
      </c>
      <c r="AV8" s="576"/>
      <c r="AW8" s="597">
        <f t="shared" si="32"/>
        <v>0</v>
      </c>
      <c r="AX8" s="598">
        <f t="shared" si="33"/>
        <v>0</v>
      </c>
      <c r="AY8" s="598">
        <f t="shared" si="34"/>
        <v>0</v>
      </c>
      <c r="AZ8" s="598">
        <f t="shared" si="35"/>
        <v>0</v>
      </c>
      <c r="BA8" s="598">
        <f t="shared" si="36"/>
        <v>0</v>
      </c>
      <c r="BB8" s="598">
        <f t="shared" si="37"/>
        <v>0</v>
      </c>
      <c r="BC8" s="598">
        <f t="shared" si="38"/>
        <v>0</v>
      </c>
      <c r="BD8" s="598">
        <f t="shared" si="39"/>
        <v>0</v>
      </c>
      <c r="BE8" s="599">
        <f t="shared" si="40"/>
        <v>0</v>
      </c>
      <c r="BF8" s="600">
        <f t="shared" si="41"/>
        <v>0</v>
      </c>
    </row>
    <row r="9" spans="1:58" ht="20.25" customHeight="1" thickBot="1" x14ac:dyDescent="0.25">
      <c r="A9" s="577">
        <v>16</v>
      </c>
      <c r="B9" s="592">
        <f t="shared" si="3"/>
        <v>0</v>
      </c>
      <c r="C9" s="578"/>
      <c r="D9" s="593">
        <f t="shared" si="4"/>
        <v>0</v>
      </c>
      <c r="E9" s="594">
        <f t="shared" si="5"/>
        <v>0</v>
      </c>
      <c r="F9" s="594">
        <f t="shared" si="6"/>
        <v>0</v>
      </c>
      <c r="G9" s="595">
        <f t="shared" si="7"/>
        <v>0</v>
      </c>
      <c r="H9" s="1268">
        <f t="shared" si="8"/>
        <v>0</v>
      </c>
      <c r="I9" s="595">
        <f t="shared" si="9"/>
        <v>0</v>
      </c>
      <c r="J9" s="594">
        <f t="shared" si="10"/>
        <v>0</v>
      </c>
      <c r="K9" s="1421">
        <f t="shared" si="11"/>
        <v>0</v>
      </c>
      <c r="L9" s="594">
        <f t="shared" si="12"/>
        <v>0</v>
      </c>
      <c r="M9" s="595">
        <f t="shared" si="13"/>
        <v>0</v>
      </c>
      <c r="N9" s="595">
        <f t="shared" si="14"/>
        <v>0</v>
      </c>
      <c r="O9" s="595">
        <f t="shared" si="15"/>
        <v>0</v>
      </c>
      <c r="P9" s="595">
        <f t="shared" si="16"/>
        <v>0</v>
      </c>
      <c r="Q9" s="595">
        <f t="shared" si="17"/>
        <v>0</v>
      </c>
      <c r="R9" s="595">
        <f t="shared" si="18"/>
        <v>0</v>
      </c>
      <c r="S9" s="594">
        <f t="shared" si="19"/>
        <v>0</v>
      </c>
      <c r="T9" s="595">
        <f t="shared" si="20"/>
        <v>0</v>
      </c>
      <c r="U9" s="594">
        <f t="shared" si="21"/>
        <v>0</v>
      </c>
      <c r="V9" s="594">
        <f t="shared" si="22"/>
        <v>0</v>
      </c>
      <c r="W9" s="594">
        <f t="shared" si="23"/>
        <v>0</v>
      </c>
      <c r="X9" s="594">
        <f t="shared" si="24"/>
        <v>0</v>
      </c>
      <c r="Y9" s="580">
        <f t="shared" si="25"/>
        <v>0</v>
      </c>
      <c r="Z9" s="580">
        <f t="shared" si="26"/>
        <v>0</v>
      </c>
      <c r="AA9" s="1414">
        <f t="shared" si="29"/>
        <v>0</v>
      </c>
      <c r="AB9" s="582"/>
      <c r="AC9" s="583"/>
      <c r="AD9" s="583"/>
      <c r="AE9" s="583"/>
      <c r="AF9" s="583"/>
      <c r="AG9" s="583"/>
      <c r="AH9" s="583"/>
      <c r="AI9" s="584"/>
      <c r="AJ9" s="585"/>
      <c r="AL9" s="596">
        <f t="shared" si="30"/>
        <v>0</v>
      </c>
      <c r="AM9" s="587">
        <f t="shared" si="31"/>
        <v>0</v>
      </c>
      <c r="AN9" s="587">
        <f t="shared" si="27"/>
        <v>0</v>
      </c>
      <c r="AO9" s="587">
        <f t="shared" si="27"/>
        <v>0</v>
      </c>
      <c r="AP9" s="587">
        <f t="shared" si="27"/>
        <v>0</v>
      </c>
      <c r="AQ9" s="587">
        <f t="shared" si="27"/>
        <v>0</v>
      </c>
      <c r="AR9" s="587">
        <f t="shared" si="27"/>
        <v>0</v>
      </c>
      <c r="AS9" s="587">
        <f t="shared" si="27"/>
        <v>0</v>
      </c>
      <c r="AT9" s="587">
        <f t="shared" si="27"/>
        <v>0</v>
      </c>
      <c r="AU9" s="587">
        <f t="shared" si="27"/>
        <v>0</v>
      </c>
      <c r="AV9" s="576"/>
      <c r="AW9" s="597">
        <f t="shared" si="32"/>
        <v>0</v>
      </c>
      <c r="AX9" s="598">
        <f t="shared" si="33"/>
        <v>0</v>
      </c>
      <c r="AY9" s="598">
        <f t="shared" si="34"/>
        <v>0</v>
      </c>
      <c r="AZ9" s="598">
        <f t="shared" si="35"/>
        <v>0</v>
      </c>
      <c r="BA9" s="598">
        <f t="shared" si="36"/>
        <v>0</v>
      </c>
      <c r="BB9" s="598">
        <f t="shared" si="37"/>
        <v>0</v>
      </c>
      <c r="BC9" s="598">
        <f t="shared" si="38"/>
        <v>0</v>
      </c>
      <c r="BD9" s="598">
        <f t="shared" si="39"/>
        <v>0</v>
      </c>
      <c r="BE9" s="599">
        <f t="shared" si="40"/>
        <v>0</v>
      </c>
      <c r="BF9" s="600">
        <f t="shared" si="41"/>
        <v>0</v>
      </c>
    </row>
    <row r="10" spans="1:58" ht="20.25" customHeight="1" thickBot="1" x14ac:dyDescent="0.25">
      <c r="A10" s="577">
        <v>175</v>
      </c>
      <c r="B10" s="592">
        <f t="shared" si="3"/>
        <v>0</v>
      </c>
      <c r="C10" s="578"/>
      <c r="D10" s="593">
        <f t="shared" si="4"/>
        <v>1.0000000000000001E-5</v>
      </c>
      <c r="E10" s="594">
        <f t="shared" si="5"/>
        <v>1E-4</v>
      </c>
      <c r="F10" s="594">
        <f t="shared" si="6"/>
        <v>1E-4</v>
      </c>
      <c r="G10" s="595">
        <f t="shared" si="7"/>
        <v>1E-4</v>
      </c>
      <c r="H10" s="1268">
        <f t="shared" si="8"/>
        <v>1E-4</v>
      </c>
      <c r="I10" s="595">
        <f t="shared" si="9"/>
        <v>1E-4</v>
      </c>
      <c r="J10" s="594">
        <f t="shared" si="10"/>
        <v>1E-4</v>
      </c>
      <c r="K10" s="1421">
        <f t="shared" si="11"/>
        <v>1E-4</v>
      </c>
      <c r="L10" s="594">
        <f t="shared" si="12"/>
        <v>1E-4</v>
      </c>
      <c r="M10" s="595">
        <f t="shared" si="13"/>
        <v>1E-4</v>
      </c>
      <c r="N10" s="595">
        <f t="shared" si="14"/>
        <v>1E-4</v>
      </c>
      <c r="O10" s="595">
        <f t="shared" si="15"/>
        <v>1E-4</v>
      </c>
      <c r="P10" s="595">
        <f t="shared" si="16"/>
        <v>1E-4</v>
      </c>
      <c r="Q10" s="595">
        <f t="shared" si="17"/>
        <v>1E-4</v>
      </c>
      <c r="R10" s="595">
        <f t="shared" si="18"/>
        <v>1E-4</v>
      </c>
      <c r="S10" s="594">
        <f t="shared" si="19"/>
        <v>1E-4</v>
      </c>
      <c r="T10" s="595">
        <f t="shared" si="20"/>
        <v>1E-4</v>
      </c>
      <c r="U10" s="594">
        <f t="shared" si="21"/>
        <v>1E-4</v>
      </c>
      <c r="V10" s="594">
        <f t="shared" si="22"/>
        <v>1E-4</v>
      </c>
      <c r="W10" s="594">
        <f t="shared" si="23"/>
        <v>1E-4</v>
      </c>
      <c r="X10" s="594">
        <f t="shared" si="24"/>
        <v>1E-4</v>
      </c>
      <c r="Y10" s="580">
        <f t="shared" si="25"/>
        <v>1E-4</v>
      </c>
      <c r="Z10" s="580">
        <f t="shared" si="26"/>
        <v>1E-4</v>
      </c>
      <c r="AA10" s="1414">
        <f t="shared" si="29"/>
        <v>0</v>
      </c>
      <c r="AB10" s="582"/>
      <c r="AC10" s="583"/>
      <c r="AD10" s="583"/>
      <c r="AE10" s="583"/>
      <c r="AF10" s="583"/>
      <c r="AG10" s="583"/>
      <c r="AH10" s="583"/>
      <c r="AI10" s="584"/>
      <c r="AJ10" s="585"/>
      <c r="AL10" s="596">
        <f t="shared" si="30"/>
        <v>0</v>
      </c>
      <c r="AM10" s="587">
        <f t="shared" si="31"/>
        <v>0</v>
      </c>
      <c r="AN10" s="587">
        <f t="shared" si="27"/>
        <v>0</v>
      </c>
      <c r="AO10" s="587">
        <f t="shared" si="27"/>
        <v>0</v>
      </c>
      <c r="AP10" s="587">
        <f t="shared" si="27"/>
        <v>0</v>
      </c>
      <c r="AQ10" s="587">
        <f t="shared" si="27"/>
        <v>0</v>
      </c>
      <c r="AR10" s="587">
        <f t="shared" si="27"/>
        <v>0</v>
      </c>
      <c r="AS10" s="587">
        <f t="shared" si="27"/>
        <v>0</v>
      </c>
      <c r="AT10" s="587">
        <f t="shared" si="27"/>
        <v>0</v>
      </c>
      <c r="AU10" s="587">
        <f t="shared" si="27"/>
        <v>0</v>
      </c>
      <c r="AV10" s="576"/>
      <c r="AW10" s="597">
        <f t="shared" si="32"/>
        <v>0</v>
      </c>
      <c r="AX10" s="598">
        <f t="shared" si="33"/>
        <v>0</v>
      </c>
      <c r="AY10" s="598">
        <f t="shared" si="34"/>
        <v>0</v>
      </c>
      <c r="AZ10" s="598">
        <f t="shared" si="35"/>
        <v>0</v>
      </c>
      <c r="BA10" s="598">
        <f t="shared" si="36"/>
        <v>0</v>
      </c>
      <c r="BB10" s="598">
        <f t="shared" si="37"/>
        <v>0</v>
      </c>
      <c r="BC10" s="598">
        <f t="shared" si="38"/>
        <v>0</v>
      </c>
      <c r="BD10" s="598">
        <f t="shared" si="39"/>
        <v>0</v>
      </c>
      <c r="BE10" s="599">
        <f t="shared" si="40"/>
        <v>0</v>
      </c>
      <c r="BF10" s="600">
        <f t="shared" si="41"/>
        <v>0</v>
      </c>
    </row>
    <row r="11" spans="1:58" ht="20.25" customHeight="1" thickBot="1" x14ac:dyDescent="0.25">
      <c r="A11" s="577">
        <v>175</v>
      </c>
      <c r="B11" s="592">
        <f t="shared" si="3"/>
        <v>0</v>
      </c>
      <c r="C11" s="578"/>
      <c r="D11" s="593">
        <f t="shared" si="4"/>
        <v>1.0000000000000001E-5</v>
      </c>
      <c r="E11" s="594">
        <f t="shared" si="5"/>
        <v>1E-4</v>
      </c>
      <c r="F11" s="594">
        <f t="shared" si="6"/>
        <v>1E-4</v>
      </c>
      <c r="G11" s="595">
        <f t="shared" si="7"/>
        <v>1E-4</v>
      </c>
      <c r="H11" s="1268">
        <f t="shared" si="8"/>
        <v>1E-4</v>
      </c>
      <c r="I11" s="595">
        <f t="shared" si="9"/>
        <v>1E-4</v>
      </c>
      <c r="J11" s="594">
        <f t="shared" si="10"/>
        <v>1E-4</v>
      </c>
      <c r="K11" s="1421">
        <f t="shared" si="11"/>
        <v>1E-4</v>
      </c>
      <c r="L11" s="594">
        <f t="shared" si="12"/>
        <v>1E-4</v>
      </c>
      <c r="M11" s="595">
        <f t="shared" si="13"/>
        <v>1E-4</v>
      </c>
      <c r="N11" s="595">
        <f t="shared" si="14"/>
        <v>1E-4</v>
      </c>
      <c r="O11" s="595">
        <f t="shared" si="15"/>
        <v>1E-4</v>
      </c>
      <c r="P11" s="595">
        <f t="shared" si="16"/>
        <v>1E-4</v>
      </c>
      <c r="Q11" s="595">
        <f t="shared" si="17"/>
        <v>1E-4</v>
      </c>
      <c r="R11" s="595">
        <f t="shared" si="18"/>
        <v>1E-4</v>
      </c>
      <c r="S11" s="594">
        <f t="shared" si="19"/>
        <v>1E-4</v>
      </c>
      <c r="T11" s="595">
        <f t="shared" si="20"/>
        <v>1E-4</v>
      </c>
      <c r="U11" s="594">
        <f t="shared" si="21"/>
        <v>1E-4</v>
      </c>
      <c r="V11" s="594">
        <f t="shared" si="22"/>
        <v>1E-4</v>
      </c>
      <c r="W11" s="594">
        <f t="shared" si="23"/>
        <v>1E-4</v>
      </c>
      <c r="X11" s="594">
        <f t="shared" si="24"/>
        <v>1E-4</v>
      </c>
      <c r="Y11" s="580">
        <f t="shared" si="25"/>
        <v>1E-4</v>
      </c>
      <c r="Z11" s="580">
        <f t="shared" si="26"/>
        <v>1E-4</v>
      </c>
      <c r="AA11" s="1414">
        <f t="shared" si="29"/>
        <v>0</v>
      </c>
      <c r="AB11" s="582"/>
      <c r="AC11" s="583"/>
      <c r="AD11" s="583"/>
      <c r="AE11" s="583"/>
      <c r="AF11" s="583"/>
      <c r="AG11" s="583"/>
      <c r="AH11" s="583"/>
      <c r="AI11" s="584"/>
      <c r="AJ11" s="585"/>
      <c r="AL11" s="596">
        <f t="shared" si="30"/>
        <v>0</v>
      </c>
      <c r="AM11" s="587">
        <f t="shared" si="31"/>
        <v>0</v>
      </c>
      <c r="AN11" s="587">
        <f t="shared" si="27"/>
        <v>0</v>
      </c>
      <c r="AO11" s="587">
        <f t="shared" si="27"/>
        <v>0</v>
      </c>
      <c r="AP11" s="587">
        <f t="shared" si="27"/>
        <v>0</v>
      </c>
      <c r="AQ11" s="587">
        <f t="shared" si="27"/>
        <v>0</v>
      </c>
      <c r="AR11" s="587">
        <f t="shared" si="27"/>
        <v>0</v>
      </c>
      <c r="AS11" s="587">
        <f t="shared" si="27"/>
        <v>0</v>
      </c>
      <c r="AT11" s="587">
        <f t="shared" si="27"/>
        <v>0</v>
      </c>
      <c r="AU11" s="587">
        <f t="shared" si="27"/>
        <v>0</v>
      </c>
      <c r="AV11" s="576"/>
      <c r="AW11" s="597">
        <f t="shared" si="32"/>
        <v>0</v>
      </c>
      <c r="AX11" s="598">
        <f t="shared" si="33"/>
        <v>0</v>
      </c>
      <c r="AY11" s="598">
        <f t="shared" si="34"/>
        <v>0</v>
      </c>
      <c r="AZ11" s="598">
        <f t="shared" si="35"/>
        <v>0</v>
      </c>
      <c r="BA11" s="598">
        <f t="shared" si="36"/>
        <v>0</v>
      </c>
      <c r="BB11" s="598">
        <f t="shared" si="37"/>
        <v>0</v>
      </c>
      <c r="BC11" s="598">
        <f t="shared" si="38"/>
        <v>0</v>
      </c>
      <c r="BD11" s="598">
        <f t="shared" si="39"/>
        <v>0</v>
      </c>
      <c r="BE11" s="599">
        <f t="shared" si="40"/>
        <v>0</v>
      </c>
      <c r="BF11" s="600">
        <f t="shared" si="41"/>
        <v>0</v>
      </c>
    </row>
    <row r="12" spans="1:58" ht="20.25" customHeight="1" thickBot="1" x14ac:dyDescent="0.25">
      <c r="A12" s="577">
        <v>9</v>
      </c>
      <c r="B12" s="592">
        <f t="shared" si="3"/>
        <v>0</v>
      </c>
      <c r="C12" s="578"/>
      <c r="D12" s="593">
        <f t="shared" si="4"/>
        <v>0</v>
      </c>
      <c r="E12" s="594">
        <f t="shared" si="5"/>
        <v>0</v>
      </c>
      <c r="F12" s="594">
        <f t="shared" si="6"/>
        <v>0</v>
      </c>
      <c r="G12" s="595">
        <f t="shared" si="7"/>
        <v>0</v>
      </c>
      <c r="H12" s="1268">
        <f t="shared" si="8"/>
        <v>0</v>
      </c>
      <c r="I12" s="595">
        <f t="shared" si="9"/>
        <v>0</v>
      </c>
      <c r="J12" s="594">
        <f t="shared" si="10"/>
        <v>0</v>
      </c>
      <c r="K12" s="1421">
        <f t="shared" si="11"/>
        <v>0</v>
      </c>
      <c r="L12" s="594">
        <f t="shared" si="12"/>
        <v>0</v>
      </c>
      <c r="M12" s="595">
        <f t="shared" si="13"/>
        <v>0</v>
      </c>
      <c r="N12" s="595">
        <f t="shared" si="14"/>
        <v>0</v>
      </c>
      <c r="O12" s="595">
        <f t="shared" si="15"/>
        <v>0</v>
      </c>
      <c r="P12" s="595">
        <f t="shared" si="16"/>
        <v>0</v>
      </c>
      <c r="Q12" s="595">
        <f t="shared" si="17"/>
        <v>0</v>
      </c>
      <c r="R12" s="595">
        <f t="shared" si="18"/>
        <v>0</v>
      </c>
      <c r="S12" s="594">
        <f t="shared" si="19"/>
        <v>0</v>
      </c>
      <c r="T12" s="595">
        <f t="shared" si="20"/>
        <v>0</v>
      </c>
      <c r="U12" s="594">
        <f t="shared" si="21"/>
        <v>0</v>
      </c>
      <c r="V12" s="594">
        <f t="shared" si="22"/>
        <v>0</v>
      </c>
      <c r="W12" s="594">
        <f t="shared" si="23"/>
        <v>0</v>
      </c>
      <c r="X12" s="594">
        <f t="shared" si="24"/>
        <v>0</v>
      </c>
      <c r="Y12" s="580">
        <f t="shared" si="25"/>
        <v>0</v>
      </c>
      <c r="Z12" s="580">
        <f t="shared" si="26"/>
        <v>0</v>
      </c>
      <c r="AA12" s="1414">
        <f t="shared" si="29"/>
        <v>0</v>
      </c>
      <c r="AB12" s="582"/>
      <c r="AC12" s="583"/>
      <c r="AD12" s="583"/>
      <c r="AE12" s="583"/>
      <c r="AF12" s="583"/>
      <c r="AG12" s="583"/>
      <c r="AH12" s="583"/>
      <c r="AI12" s="584"/>
      <c r="AJ12" s="585"/>
      <c r="AL12" s="596">
        <f t="shared" si="30"/>
        <v>0</v>
      </c>
      <c r="AM12" s="587">
        <f t="shared" ref="AM12:AM24" si="42">IF(AB12=0,0,IF(AB$3="TM",AB12/$D12*100,AB12))</f>
        <v>0</v>
      </c>
      <c r="AN12" s="587">
        <f t="shared" si="27"/>
        <v>0</v>
      </c>
      <c r="AO12" s="587">
        <f t="shared" si="27"/>
        <v>0</v>
      </c>
      <c r="AP12" s="587">
        <f t="shared" si="27"/>
        <v>0</v>
      </c>
      <c r="AQ12" s="587">
        <f t="shared" si="27"/>
        <v>0</v>
      </c>
      <c r="AR12" s="587">
        <f t="shared" si="27"/>
        <v>0</v>
      </c>
      <c r="AS12" s="587">
        <f t="shared" si="27"/>
        <v>0</v>
      </c>
      <c r="AT12" s="587">
        <f t="shared" si="27"/>
        <v>0</v>
      </c>
      <c r="AU12" s="587">
        <f t="shared" si="27"/>
        <v>0</v>
      </c>
      <c r="AV12" s="576"/>
      <c r="AW12" s="597">
        <f t="shared" si="32"/>
        <v>0</v>
      </c>
      <c r="AX12" s="598">
        <f t="shared" si="33"/>
        <v>0</v>
      </c>
      <c r="AY12" s="598">
        <f t="shared" si="34"/>
        <v>0</v>
      </c>
      <c r="AZ12" s="598">
        <f t="shared" si="35"/>
        <v>0</v>
      </c>
      <c r="BA12" s="598">
        <f t="shared" si="36"/>
        <v>0</v>
      </c>
      <c r="BB12" s="598">
        <f t="shared" si="37"/>
        <v>0</v>
      </c>
      <c r="BC12" s="598">
        <f t="shared" si="38"/>
        <v>0</v>
      </c>
      <c r="BD12" s="598">
        <f t="shared" si="39"/>
        <v>0</v>
      </c>
      <c r="BE12" s="599">
        <f t="shared" si="40"/>
        <v>0</v>
      </c>
      <c r="BF12" s="600">
        <f t="shared" si="41"/>
        <v>0</v>
      </c>
    </row>
    <row r="13" spans="1:58" ht="20.25" customHeight="1" thickBot="1" x14ac:dyDescent="0.25">
      <c r="A13" s="577">
        <v>17</v>
      </c>
      <c r="B13" s="592">
        <f t="shared" si="3"/>
        <v>0</v>
      </c>
      <c r="C13" s="578"/>
      <c r="D13" s="593">
        <f t="shared" si="4"/>
        <v>0</v>
      </c>
      <c r="E13" s="594">
        <f t="shared" si="5"/>
        <v>0</v>
      </c>
      <c r="F13" s="594">
        <f t="shared" si="6"/>
        <v>0</v>
      </c>
      <c r="G13" s="595">
        <f t="shared" si="7"/>
        <v>0</v>
      </c>
      <c r="H13" s="1268">
        <f t="shared" si="8"/>
        <v>0</v>
      </c>
      <c r="I13" s="595">
        <f t="shared" si="9"/>
        <v>0</v>
      </c>
      <c r="J13" s="594">
        <f t="shared" si="10"/>
        <v>0</v>
      </c>
      <c r="K13" s="1421">
        <f t="shared" si="11"/>
        <v>0</v>
      </c>
      <c r="L13" s="594">
        <f t="shared" si="12"/>
        <v>0</v>
      </c>
      <c r="M13" s="595">
        <f t="shared" si="13"/>
        <v>0</v>
      </c>
      <c r="N13" s="595">
        <f t="shared" si="14"/>
        <v>0</v>
      </c>
      <c r="O13" s="595">
        <f t="shared" si="15"/>
        <v>0</v>
      </c>
      <c r="P13" s="595">
        <f t="shared" si="16"/>
        <v>0</v>
      </c>
      <c r="Q13" s="595">
        <f t="shared" si="17"/>
        <v>0</v>
      </c>
      <c r="R13" s="595">
        <f t="shared" si="18"/>
        <v>0</v>
      </c>
      <c r="S13" s="594">
        <f t="shared" si="19"/>
        <v>0</v>
      </c>
      <c r="T13" s="595">
        <f t="shared" si="20"/>
        <v>0</v>
      </c>
      <c r="U13" s="594">
        <f t="shared" si="21"/>
        <v>0</v>
      </c>
      <c r="V13" s="594">
        <f t="shared" si="22"/>
        <v>0</v>
      </c>
      <c r="W13" s="594">
        <f t="shared" si="23"/>
        <v>0</v>
      </c>
      <c r="X13" s="594">
        <f t="shared" si="24"/>
        <v>0</v>
      </c>
      <c r="Y13" s="580">
        <f t="shared" si="25"/>
        <v>0</v>
      </c>
      <c r="Z13" s="580">
        <f t="shared" si="26"/>
        <v>0</v>
      </c>
      <c r="AA13" s="1414">
        <f t="shared" si="29"/>
        <v>0</v>
      </c>
      <c r="AB13" s="582"/>
      <c r="AC13" s="583"/>
      <c r="AD13" s="583"/>
      <c r="AE13" s="583"/>
      <c r="AF13" s="583"/>
      <c r="AG13" s="583"/>
      <c r="AH13" s="583"/>
      <c r="AI13" s="584"/>
      <c r="AJ13" s="601"/>
      <c r="AL13" s="596">
        <f t="shared" si="30"/>
        <v>0</v>
      </c>
      <c r="AM13" s="587">
        <f t="shared" si="42"/>
        <v>0</v>
      </c>
      <c r="AN13" s="587">
        <f t="shared" si="27"/>
        <v>0</v>
      </c>
      <c r="AO13" s="587">
        <f t="shared" si="27"/>
        <v>0</v>
      </c>
      <c r="AP13" s="587">
        <f t="shared" si="27"/>
        <v>0</v>
      </c>
      <c r="AQ13" s="587">
        <f t="shared" si="27"/>
        <v>0</v>
      </c>
      <c r="AR13" s="587">
        <f t="shared" si="27"/>
        <v>0</v>
      </c>
      <c r="AS13" s="587">
        <f t="shared" si="27"/>
        <v>0</v>
      </c>
      <c r="AT13" s="587">
        <f t="shared" si="27"/>
        <v>0</v>
      </c>
      <c r="AU13" s="587">
        <f t="shared" si="27"/>
        <v>0</v>
      </c>
      <c r="AV13" s="576"/>
      <c r="AW13" s="597">
        <f t="shared" si="32"/>
        <v>0</v>
      </c>
      <c r="AX13" s="598">
        <f t="shared" si="33"/>
        <v>0</v>
      </c>
      <c r="AY13" s="598">
        <f t="shared" si="34"/>
        <v>0</v>
      </c>
      <c r="AZ13" s="598">
        <f t="shared" si="35"/>
        <v>0</v>
      </c>
      <c r="BA13" s="598">
        <f t="shared" si="36"/>
        <v>0</v>
      </c>
      <c r="BB13" s="598">
        <f t="shared" si="37"/>
        <v>0</v>
      </c>
      <c r="BC13" s="598">
        <f t="shared" si="38"/>
        <v>0</v>
      </c>
      <c r="BD13" s="598">
        <f t="shared" si="39"/>
        <v>0</v>
      </c>
      <c r="BE13" s="599">
        <f t="shared" si="40"/>
        <v>0</v>
      </c>
      <c r="BF13" s="600">
        <f t="shared" si="41"/>
        <v>0</v>
      </c>
    </row>
    <row r="14" spans="1:58" ht="20.25" customHeight="1" thickBot="1" x14ac:dyDescent="0.25">
      <c r="A14" s="577">
        <v>15</v>
      </c>
      <c r="B14" s="592">
        <f t="shared" si="3"/>
        <v>0</v>
      </c>
      <c r="C14" s="578"/>
      <c r="D14" s="593">
        <f t="shared" si="4"/>
        <v>0</v>
      </c>
      <c r="E14" s="594">
        <f t="shared" si="5"/>
        <v>0</v>
      </c>
      <c r="F14" s="594">
        <f t="shared" si="6"/>
        <v>0</v>
      </c>
      <c r="G14" s="595">
        <f t="shared" si="7"/>
        <v>0</v>
      </c>
      <c r="H14" s="1268">
        <f t="shared" si="8"/>
        <v>0</v>
      </c>
      <c r="I14" s="595">
        <f t="shared" si="9"/>
        <v>0</v>
      </c>
      <c r="J14" s="594">
        <f t="shared" si="10"/>
        <v>0</v>
      </c>
      <c r="K14" s="1421">
        <f t="shared" si="11"/>
        <v>0</v>
      </c>
      <c r="L14" s="594">
        <f t="shared" si="12"/>
        <v>0</v>
      </c>
      <c r="M14" s="595">
        <f t="shared" si="13"/>
        <v>0</v>
      </c>
      <c r="N14" s="595">
        <f t="shared" si="14"/>
        <v>0</v>
      </c>
      <c r="O14" s="595">
        <f t="shared" si="15"/>
        <v>0</v>
      </c>
      <c r="P14" s="595">
        <f t="shared" si="16"/>
        <v>0</v>
      </c>
      <c r="Q14" s="595">
        <f t="shared" si="17"/>
        <v>0</v>
      </c>
      <c r="R14" s="595">
        <f t="shared" si="18"/>
        <v>0</v>
      </c>
      <c r="S14" s="594">
        <f t="shared" si="19"/>
        <v>0</v>
      </c>
      <c r="T14" s="595">
        <f t="shared" si="20"/>
        <v>0</v>
      </c>
      <c r="U14" s="594">
        <f t="shared" si="21"/>
        <v>0</v>
      </c>
      <c r="V14" s="594">
        <f t="shared" si="22"/>
        <v>0</v>
      </c>
      <c r="W14" s="594">
        <f t="shared" si="23"/>
        <v>0</v>
      </c>
      <c r="X14" s="594">
        <f t="shared" si="24"/>
        <v>0</v>
      </c>
      <c r="Y14" s="580">
        <f t="shared" si="25"/>
        <v>0</v>
      </c>
      <c r="Z14" s="580">
        <f t="shared" si="26"/>
        <v>0</v>
      </c>
      <c r="AA14" s="1414">
        <f t="shared" si="29"/>
        <v>0</v>
      </c>
      <c r="AB14" s="582"/>
      <c r="AC14" s="583"/>
      <c r="AD14" s="583"/>
      <c r="AE14" s="583"/>
      <c r="AF14" s="583"/>
      <c r="AG14" s="583"/>
      <c r="AH14" s="583"/>
      <c r="AI14" s="584"/>
      <c r="AJ14" s="601"/>
      <c r="AL14" s="596">
        <f t="shared" si="30"/>
        <v>0</v>
      </c>
      <c r="AM14" s="587">
        <f t="shared" si="42"/>
        <v>0</v>
      </c>
      <c r="AN14" s="587">
        <f t="shared" si="27"/>
        <v>0</v>
      </c>
      <c r="AO14" s="587">
        <f t="shared" si="27"/>
        <v>0</v>
      </c>
      <c r="AP14" s="587">
        <f t="shared" si="27"/>
        <v>0</v>
      </c>
      <c r="AQ14" s="587">
        <f t="shared" si="27"/>
        <v>0</v>
      </c>
      <c r="AR14" s="587">
        <f t="shared" si="27"/>
        <v>0</v>
      </c>
      <c r="AS14" s="587">
        <f t="shared" si="27"/>
        <v>0</v>
      </c>
      <c r="AT14" s="587">
        <f t="shared" si="27"/>
        <v>0</v>
      </c>
      <c r="AU14" s="587">
        <f t="shared" si="27"/>
        <v>0</v>
      </c>
      <c r="AV14" s="576"/>
      <c r="AW14" s="597">
        <f t="shared" si="32"/>
        <v>0</v>
      </c>
      <c r="AX14" s="598">
        <f t="shared" si="33"/>
        <v>0</v>
      </c>
      <c r="AY14" s="598">
        <f t="shared" si="34"/>
        <v>0</v>
      </c>
      <c r="AZ14" s="598">
        <f t="shared" si="35"/>
        <v>0</v>
      </c>
      <c r="BA14" s="598">
        <f t="shared" si="36"/>
        <v>0</v>
      </c>
      <c r="BB14" s="598">
        <f t="shared" si="37"/>
        <v>0</v>
      </c>
      <c r="BC14" s="598">
        <f t="shared" si="38"/>
        <v>0</v>
      </c>
      <c r="BD14" s="598">
        <f t="shared" si="39"/>
        <v>0</v>
      </c>
      <c r="BE14" s="599">
        <f t="shared" si="40"/>
        <v>0</v>
      </c>
      <c r="BF14" s="600">
        <f t="shared" si="41"/>
        <v>0</v>
      </c>
    </row>
    <row r="15" spans="1:58" ht="20.25" customHeight="1" thickBot="1" x14ac:dyDescent="0.25">
      <c r="A15" s="577">
        <v>24</v>
      </c>
      <c r="B15" s="592">
        <f t="shared" si="3"/>
        <v>0</v>
      </c>
      <c r="C15" s="578"/>
      <c r="D15" s="593">
        <f t="shared" si="4"/>
        <v>0</v>
      </c>
      <c r="E15" s="594">
        <f t="shared" si="5"/>
        <v>0</v>
      </c>
      <c r="F15" s="594">
        <f t="shared" si="6"/>
        <v>0</v>
      </c>
      <c r="G15" s="595">
        <f t="shared" si="7"/>
        <v>0</v>
      </c>
      <c r="H15" s="1268">
        <f t="shared" si="8"/>
        <v>0</v>
      </c>
      <c r="I15" s="595">
        <f t="shared" si="9"/>
        <v>0</v>
      </c>
      <c r="J15" s="594">
        <f t="shared" si="10"/>
        <v>0</v>
      </c>
      <c r="K15" s="1421">
        <f t="shared" si="11"/>
        <v>0</v>
      </c>
      <c r="L15" s="594">
        <f t="shared" si="12"/>
        <v>0</v>
      </c>
      <c r="M15" s="595">
        <f t="shared" si="13"/>
        <v>0</v>
      </c>
      <c r="N15" s="595">
        <f t="shared" si="14"/>
        <v>0</v>
      </c>
      <c r="O15" s="595">
        <f t="shared" si="15"/>
        <v>0</v>
      </c>
      <c r="P15" s="595">
        <f t="shared" si="16"/>
        <v>0</v>
      </c>
      <c r="Q15" s="595">
        <f t="shared" si="17"/>
        <v>0</v>
      </c>
      <c r="R15" s="595">
        <f t="shared" si="18"/>
        <v>0</v>
      </c>
      <c r="S15" s="594">
        <f t="shared" si="19"/>
        <v>0</v>
      </c>
      <c r="T15" s="595">
        <f t="shared" si="20"/>
        <v>0</v>
      </c>
      <c r="U15" s="594">
        <f t="shared" si="21"/>
        <v>0</v>
      </c>
      <c r="V15" s="594">
        <f t="shared" si="22"/>
        <v>0</v>
      </c>
      <c r="W15" s="594">
        <f t="shared" si="23"/>
        <v>0</v>
      </c>
      <c r="X15" s="594">
        <f t="shared" si="24"/>
        <v>0</v>
      </c>
      <c r="Y15" s="580">
        <f t="shared" si="25"/>
        <v>0</v>
      </c>
      <c r="Z15" s="580">
        <f t="shared" si="26"/>
        <v>0</v>
      </c>
      <c r="AA15" s="1414">
        <f t="shared" si="29"/>
        <v>0</v>
      </c>
      <c r="AB15" s="582"/>
      <c r="AC15" s="583"/>
      <c r="AD15" s="583"/>
      <c r="AE15" s="583"/>
      <c r="AF15" s="583"/>
      <c r="AG15" s="583"/>
      <c r="AH15" s="583"/>
      <c r="AI15" s="584"/>
      <c r="AJ15" s="601"/>
      <c r="AL15" s="596">
        <f t="shared" si="30"/>
        <v>0</v>
      </c>
      <c r="AM15" s="587">
        <f t="shared" si="42"/>
        <v>0</v>
      </c>
      <c r="AN15" s="587">
        <f t="shared" si="27"/>
        <v>0</v>
      </c>
      <c r="AO15" s="587">
        <f t="shared" si="27"/>
        <v>0</v>
      </c>
      <c r="AP15" s="587">
        <f t="shared" si="27"/>
        <v>0</v>
      </c>
      <c r="AQ15" s="587">
        <f t="shared" si="27"/>
        <v>0</v>
      </c>
      <c r="AR15" s="587">
        <f t="shared" si="27"/>
        <v>0</v>
      </c>
      <c r="AS15" s="587">
        <f t="shared" si="27"/>
        <v>0</v>
      </c>
      <c r="AT15" s="587">
        <f t="shared" si="27"/>
        <v>0</v>
      </c>
      <c r="AU15" s="587">
        <f t="shared" si="27"/>
        <v>0</v>
      </c>
      <c r="AV15" s="576"/>
      <c r="AW15" s="597">
        <f t="shared" si="32"/>
        <v>0</v>
      </c>
      <c r="AX15" s="598">
        <f t="shared" si="33"/>
        <v>0</v>
      </c>
      <c r="AY15" s="598">
        <f t="shared" si="34"/>
        <v>0</v>
      </c>
      <c r="AZ15" s="598">
        <f t="shared" si="35"/>
        <v>0</v>
      </c>
      <c r="BA15" s="598">
        <f t="shared" si="36"/>
        <v>0</v>
      </c>
      <c r="BB15" s="598">
        <f t="shared" si="37"/>
        <v>0</v>
      </c>
      <c r="BC15" s="598">
        <f t="shared" si="38"/>
        <v>0</v>
      </c>
      <c r="BD15" s="598">
        <f t="shared" si="39"/>
        <v>0</v>
      </c>
      <c r="BE15" s="599">
        <f t="shared" si="40"/>
        <v>0</v>
      </c>
      <c r="BF15" s="600">
        <f t="shared" si="41"/>
        <v>0</v>
      </c>
    </row>
    <row r="16" spans="1:58" ht="20.25" customHeight="1" thickBot="1" x14ac:dyDescent="0.25">
      <c r="A16" s="577">
        <v>25</v>
      </c>
      <c r="B16" s="602">
        <f t="shared" si="3"/>
        <v>0</v>
      </c>
      <c r="C16" s="603"/>
      <c r="D16" s="593">
        <f t="shared" si="4"/>
        <v>0</v>
      </c>
      <c r="E16" s="594">
        <f t="shared" si="5"/>
        <v>0</v>
      </c>
      <c r="F16" s="594">
        <f t="shared" si="6"/>
        <v>0</v>
      </c>
      <c r="G16" s="595">
        <f t="shared" si="7"/>
        <v>0</v>
      </c>
      <c r="H16" s="1268">
        <f t="shared" si="8"/>
        <v>0</v>
      </c>
      <c r="I16" s="595">
        <f t="shared" si="9"/>
        <v>0</v>
      </c>
      <c r="J16" s="594">
        <f t="shared" si="10"/>
        <v>0</v>
      </c>
      <c r="K16" s="1421">
        <f t="shared" si="11"/>
        <v>0</v>
      </c>
      <c r="L16" s="594">
        <f t="shared" si="12"/>
        <v>0</v>
      </c>
      <c r="M16" s="595">
        <f t="shared" si="13"/>
        <v>0</v>
      </c>
      <c r="N16" s="595">
        <f t="shared" si="14"/>
        <v>0</v>
      </c>
      <c r="O16" s="595">
        <f t="shared" si="15"/>
        <v>0</v>
      </c>
      <c r="P16" s="595">
        <f t="shared" si="16"/>
        <v>0</v>
      </c>
      <c r="Q16" s="595">
        <f t="shared" si="17"/>
        <v>0</v>
      </c>
      <c r="R16" s="595">
        <f t="shared" si="18"/>
        <v>0</v>
      </c>
      <c r="S16" s="594">
        <f t="shared" si="19"/>
        <v>0</v>
      </c>
      <c r="T16" s="595">
        <f t="shared" si="20"/>
        <v>0</v>
      </c>
      <c r="U16" s="594">
        <f t="shared" si="21"/>
        <v>0</v>
      </c>
      <c r="V16" s="594">
        <f t="shared" si="22"/>
        <v>0</v>
      </c>
      <c r="W16" s="594">
        <f t="shared" si="23"/>
        <v>0</v>
      </c>
      <c r="X16" s="594">
        <f t="shared" si="24"/>
        <v>0</v>
      </c>
      <c r="Y16" s="580">
        <f t="shared" si="25"/>
        <v>0</v>
      </c>
      <c r="Z16" s="580">
        <f t="shared" si="26"/>
        <v>0</v>
      </c>
      <c r="AA16" s="1414">
        <f t="shared" si="29"/>
        <v>0</v>
      </c>
      <c r="AB16" s="582"/>
      <c r="AC16" s="583"/>
      <c r="AD16" s="583"/>
      <c r="AE16" s="583"/>
      <c r="AF16" s="583"/>
      <c r="AG16" s="583"/>
      <c r="AH16" s="583"/>
      <c r="AI16" s="584"/>
      <c r="AJ16" s="601"/>
      <c r="AL16" s="596">
        <f t="shared" si="30"/>
        <v>0</v>
      </c>
      <c r="AM16" s="587">
        <f t="shared" si="42"/>
        <v>0</v>
      </c>
      <c r="AN16" s="587">
        <f t="shared" si="27"/>
        <v>0</v>
      </c>
      <c r="AO16" s="587">
        <f t="shared" si="27"/>
        <v>0</v>
      </c>
      <c r="AP16" s="587">
        <f t="shared" si="27"/>
        <v>0</v>
      </c>
      <c r="AQ16" s="587">
        <f t="shared" si="27"/>
        <v>0</v>
      </c>
      <c r="AR16" s="587">
        <f t="shared" si="27"/>
        <v>0</v>
      </c>
      <c r="AS16" s="587">
        <f t="shared" si="27"/>
        <v>0</v>
      </c>
      <c r="AT16" s="587">
        <f t="shared" si="27"/>
        <v>0</v>
      </c>
      <c r="AU16" s="587">
        <f t="shared" si="27"/>
        <v>0</v>
      </c>
      <c r="AV16" s="604"/>
      <c r="AW16" s="597">
        <f t="shared" si="32"/>
        <v>0</v>
      </c>
      <c r="AX16" s="598">
        <f t="shared" si="33"/>
        <v>0</v>
      </c>
      <c r="AY16" s="598">
        <f t="shared" si="34"/>
        <v>0</v>
      </c>
      <c r="AZ16" s="598">
        <f t="shared" si="35"/>
        <v>0</v>
      </c>
      <c r="BA16" s="598">
        <f t="shared" si="36"/>
        <v>0</v>
      </c>
      <c r="BB16" s="598">
        <f t="shared" si="37"/>
        <v>0</v>
      </c>
      <c r="BC16" s="598">
        <f t="shared" si="38"/>
        <v>0</v>
      </c>
      <c r="BD16" s="598">
        <f t="shared" si="39"/>
        <v>0</v>
      </c>
      <c r="BE16" s="599">
        <f t="shared" si="40"/>
        <v>0</v>
      </c>
      <c r="BF16" s="600">
        <f t="shared" si="41"/>
        <v>0</v>
      </c>
    </row>
    <row r="17" spans="1:58" ht="20.25" customHeight="1" thickBot="1" x14ac:dyDescent="0.25">
      <c r="A17" s="577">
        <v>1</v>
      </c>
      <c r="B17" s="602">
        <f t="shared" si="3"/>
        <v>0</v>
      </c>
      <c r="C17" s="603"/>
      <c r="D17" s="593">
        <f t="shared" si="4"/>
        <v>1E-4</v>
      </c>
      <c r="E17" s="594">
        <f t="shared" si="5"/>
        <v>0</v>
      </c>
      <c r="F17" s="594">
        <f t="shared" si="6"/>
        <v>0</v>
      </c>
      <c r="G17" s="595">
        <f t="shared" si="7"/>
        <v>0</v>
      </c>
      <c r="H17" s="1268">
        <f t="shared" si="8"/>
        <v>0</v>
      </c>
      <c r="I17" s="595">
        <f t="shared" si="9"/>
        <v>0</v>
      </c>
      <c r="J17" s="594">
        <f t="shared" si="10"/>
        <v>0</v>
      </c>
      <c r="K17" s="1421">
        <f t="shared" si="11"/>
        <v>0</v>
      </c>
      <c r="L17" s="594">
        <f t="shared" si="12"/>
        <v>0</v>
      </c>
      <c r="M17" s="595">
        <f t="shared" si="13"/>
        <v>0</v>
      </c>
      <c r="N17" s="595">
        <f t="shared" si="14"/>
        <v>0</v>
      </c>
      <c r="O17" s="595">
        <f t="shared" si="15"/>
        <v>0</v>
      </c>
      <c r="P17" s="595">
        <f t="shared" si="16"/>
        <v>0</v>
      </c>
      <c r="Q17" s="595">
        <f t="shared" si="17"/>
        <v>0</v>
      </c>
      <c r="R17" s="595">
        <f t="shared" si="18"/>
        <v>0</v>
      </c>
      <c r="S17" s="594">
        <f t="shared" si="19"/>
        <v>0</v>
      </c>
      <c r="T17" s="595">
        <f t="shared" si="20"/>
        <v>0</v>
      </c>
      <c r="U17" s="594">
        <f t="shared" si="21"/>
        <v>0</v>
      </c>
      <c r="V17" s="594">
        <f t="shared" si="22"/>
        <v>0</v>
      </c>
      <c r="W17" s="594">
        <f t="shared" si="23"/>
        <v>0</v>
      </c>
      <c r="X17" s="594">
        <f t="shared" si="24"/>
        <v>0</v>
      </c>
      <c r="Y17" s="580">
        <f t="shared" si="25"/>
        <v>0</v>
      </c>
      <c r="Z17" s="580">
        <f t="shared" si="26"/>
        <v>0</v>
      </c>
      <c r="AA17" s="1414">
        <f t="shared" si="29"/>
        <v>0</v>
      </c>
      <c r="AB17" s="582"/>
      <c r="AC17" s="583"/>
      <c r="AD17" s="583"/>
      <c r="AE17" s="583"/>
      <c r="AF17" s="583"/>
      <c r="AG17" s="583"/>
      <c r="AH17" s="583"/>
      <c r="AI17" s="584"/>
      <c r="AJ17" s="601"/>
      <c r="AL17" s="596">
        <f t="shared" si="30"/>
        <v>0</v>
      </c>
      <c r="AM17" s="587">
        <f t="shared" si="42"/>
        <v>0</v>
      </c>
      <c r="AN17" s="587">
        <f t="shared" si="27"/>
        <v>0</v>
      </c>
      <c r="AO17" s="587">
        <f t="shared" si="27"/>
        <v>0</v>
      </c>
      <c r="AP17" s="587">
        <f t="shared" si="27"/>
        <v>0</v>
      </c>
      <c r="AQ17" s="587">
        <f t="shared" si="27"/>
        <v>0</v>
      </c>
      <c r="AR17" s="587">
        <f t="shared" si="27"/>
        <v>0</v>
      </c>
      <c r="AS17" s="587">
        <f t="shared" si="27"/>
        <v>0</v>
      </c>
      <c r="AT17" s="587">
        <f t="shared" si="27"/>
        <v>0</v>
      </c>
      <c r="AU17" s="587">
        <f t="shared" si="27"/>
        <v>0</v>
      </c>
      <c r="AV17" s="604"/>
      <c r="AW17" s="597">
        <f t="shared" si="32"/>
        <v>0</v>
      </c>
      <c r="AX17" s="598">
        <f t="shared" si="33"/>
        <v>0</v>
      </c>
      <c r="AY17" s="598">
        <f t="shared" si="34"/>
        <v>0</v>
      </c>
      <c r="AZ17" s="598">
        <f t="shared" si="35"/>
        <v>0</v>
      </c>
      <c r="BA17" s="598">
        <f t="shared" si="36"/>
        <v>0</v>
      </c>
      <c r="BB17" s="598">
        <f t="shared" si="37"/>
        <v>0</v>
      </c>
      <c r="BC17" s="598">
        <f t="shared" si="38"/>
        <v>0</v>
      </c>
      <c r="BD17" s="598">
        <f t="shared" si="39"/>
        <v>0</v>
      </c>
      <c r="BE17" s="599">
        <f t="shared" si="40"/>
        <v>0</v>
      </c>
      <c r="BF17" s="600">
        <f t="shared" si="41"/>
        <v>0</v>
      </c>
    </row>
    <row r="18" spans="1:58" ht="20.25" customHeight="1" thickBot="1" x14ac:dyDescent="0.25">
      <c r="A18" s="577">
        <v>47</v>
      </c>
      <c r="B18" s="602">
        <f t="shared" si="3"/>
        <v>0</v>
      </c>
      <c r="C18" s="603"/>
      <c r="D18" s="593">
        <f t="shared" si="4"/>
        <v>0</v>
      </c>
      <c r="E18" s="594">
        <f t="shared" si="5"/>
        <v>0</v>
      </c>
      <c r="F18" s="594">
        <f t="shared" si="6"/>
        <v>0</v>
      </c>
      <c r="G18" s="595">
        <f t="shared" si="7"/>
        <v>0</v>
      </c>
      <c r="H18" s="1268">
        <f t="shared" si="8"/>
        <v>0</v>
      </c>
      <c r="I18" s="595">
        <f t="shared" si="9"/>
        <v>0</v>
      </c>
      <c r="J18" s="594">
        <f t="shared" si="10"/>
        <v>0</v>
      </c>
      <c r="K18" s="1421">
        <f t="shared" si="11"/>
        <v>0</v>
      </c>
      <c r="L18" s="594">
        <f t="shared" si="12"/>
        <v>0</v>
      </c>
      <c r="M18" s="595">
        <f t="shared" si="13"/>
        <v>0</v>
      </c>
      <c r="N18" s="595">
        <f t="shared" si="14"/>
        <v>0</v>
      </c>
      <c r="O18" s="595">
        <f t="shared" si="15"/>
        <v>0</v>
      </c>
      <c r="P18" s="595">
        <f t="shared" si="16"/>
        <v>0</v>
      </c>
      <c r="Q18" s="595">
        <f t="shared" si="17"/>
        <v>0</v>
      </c>
      <c r="R18" s="595">
        <f t="shared" si="18"/>
        <v>0</v>
      </c>
      <c r="S18" s="594">
        <f t="shared" si="19"/>
        <v>0</v>
      </c>
      <c r="T18" s="595">
        <f t="shared" si="20"/>
        <v>0</v>
      </c>
      <c r="U18" s="594">
        <f t="shared" si="21"/>
        <v>0</v>
      </c>
      <c r="V18" s="594">
        <f t="shared" si="22"/>
        <v>0</v>
      </c>
      <c r="W18" s="594">
        <f t="shared" si="23"/>
        <v>0</v>
      </c>
      <c r="X18" s="594">
        <f t="shared" si="24"/>
        <v>0</v>
      </c>
      <c r="Y18" s="580">
        <f t="shared" si="25"/>
        <v>0</v>
      </c>
      <c r="Z18" s="580">
        <f t="shared" si="26"/>
        <v>0</v>
      </c>
      <c r="AA18" s="1414">
        <f t="shared" si="29"/>
        <v>0</v>
      </c>
      <c r="AB18" s="582"/>
      <c r="AC18" s="583"/>
      <c r="AD18" s="583"/>
      <c r="AE18" s="583"/>
      <c r="AF18" s="583"/>
      <c r="AG18" s="583"/>
      <c r="AH18" s="583"/>
      <c r="AI18" s="584"/>
      <c r="AJ18" s="601"/>
      <c r="AL18" s="596">
        <f t="shared" si="30"/>
        <v>0</v>
      </c>
      <c r="AM18" s="587">
        <f t="shared" si="42"/>
        <v>0</v>
      </c>
      <c r="AN18" s="587">
        <f t="shared" si="27"/>
        <v>0</v>
      </c>
      <c r="AO18" s="587">
        <f t="shared" si="27"/>
        <v>0</v>
      </c>
      <c r="AP18" s="587">
        <f t="shared" si="27"/>
        <v>0</v>
      </c>
      <c r="AQ18" s="587">
        <f t="shared" si="27"/>
        <v>0</v>
      </c>
      <c r="AR18" s="587">
        <f t="shared" si="27"/>
        <v>0</v>
      </c>
      <c r="AS18" s="587">
        <f t="shared" si="27"/>
        <v>0</v>
      </c>
      <c r="AT18" s="587">
        <f t="shared" si="27"/>
        <v>0</v>
      </c>
      <c r="AU18" s="587">
        <f t="shared" si="27"/>
        <v>0</v>
      </c>
      <c r="AV18" s="604"/>
      <c r="AW18" s="597">
        <f t="shared" si="32"/>
        <v>0</v>
      </c>
      <c r="AX18" s="598">
        <f t="shared" si="33"/>
        <v>0</v>
      </c>
      <c r="AY18" s="598">
        <f t="shared" si="34"/>
        <v>0</v>
      </c>
      <c r="AZ18" s="598">
        <f t="shared" si="35"/>
        <v>0</v>
      </c>
      <c r="BA18" s="598">
        <f t="shared" si="36"/>
        <v>0</v>
      </c>
      <c r="BB18" s="598">
        <f t="shared" si="37"/>
        <v>0</v>
      </c>
      <c r="BC18" s="598">
        <f t="shared" si="38"/>
        <v>0</v>
      </c>
      <c r="BD18" s="598">
        <f t="shared" si="39"/>
        <v>0</v>
      </c>
      <c r="BE18" s="599">
        <f t="shared" si="40"/>
        <v>0</v>
      </c>
      <c r="BF18" s="600">
        <f t="shared" si="41"/>
        <v>0</v>
      </c>
    </row>
    <row r="19" spans="1:58" ht="20.25" customHeight="1" thickBot="1" x14ac:dyDescent="0.25">
      <c r="A19" s="577">
        <v>1</v>
      </c>
      <c r="B19" s="602">
        <f t="shared" si="3"/>
        <v>0</v>
      </c>
      <c r="C19" s="603"/>
      <c r="D19" s="593">
        <f t="shared" si="4"/>
        <v>1E-4</v>
      </c>
      <c r="E19" s="594">
        <f t="shared" si="5"/>
        <v>0</v>
      </c>
      <c r="F19" s="594">
        <f t="shared" si="6"/>
        <v>0</v>
      </c>
      <c r="G19" s="595">
        <f t="shared" si="7"/>
        <v>0</v>
      </c>
      <c r="H19" s="1268">
        <f t="shared" si="8"/>
        <v>0</v>
      </c>
      <c r="I19" s="595">
        <f t="shared" si="9"/>
        <v>0</v>
      </c>
      <c r="J19" s="594">
        <f t="shared" si="10"/>
        <v>0</v>
      </c>
      <c r="K19" s="1421">
        <f t="shared" si="11"/>
        <v>0</v>
      </c>
      <c r="L19" s="594">
        <f t="shared" si="12"/>
        <v>0</v>
      </c>
      <c r="M19" s="595">
        <f t="shared" si="13"/>
        <v>0</v>
      </c>
      <c r="N19" s="595">
        <f t="shared" si="14"/>
        <v>0</v>
      </c>
      <c r="O19" s="595">
        <f t="shared" si="15"/>
        <v>0</v>
      </c>
      <c r="P19" s="595">
        <f t="shared" si="16"/>
        <v>0</v>
      </c>
      <c r="Q19" s="595">
        <f t="shared" si="17"/>
        <v>0</v>
      </c>
      <c r="R19" s="595">
        <f t="shared" si="18"/>
        <v>0</v>
      </c>
      <c r="S19" s="594">
        <f t="shared" si="19"/>
        <v>0</v>
      </c>
      <c r="T19" s="595">
        <f t="shared" si="20"/>
        <v>0</v>
      </c>
      <c r="U19" s="594">
        <f t="shared" si="21"/>
        <v>0</v>
      </c>
      <c r="V19" s="594">
        <f t="shared" si="22"/>
        <v>0</v>
      </c>
      <c r="W19" s="594">
        <f t="shared" si="23"/>
        <v>0</v>
      </c>
      <c r="X19" s="594">
        <f t="shared" si="24"/>
        <v>0</v>
      </c>
      <c r="Y19" s="580">
        <f t="shared" si="25"/>
        <v>0</v>
      </c>
      <c r="Z19" s="580">
        <f t="shared" si="26"/>
        <v>0</v>
      </c>
      <c r="AA19" s="1414">
        <f t="shared" si="29"/>
        <v>0</v>
      </c>
      <c r="AB19" s="582"/>
      <c r="AC19" s="583"/>
      <c r="AD19" s="583"/>
      <c r="AE19" s="583"/>
      <c r="AF19" s="583"/>
      <c r="AG19" s="583"/>
      <c r="AH19" s="583"/>
      <c r="AI19" s="584"/>
      <c r="AJ19" s="601"/>
      <c r="AL19" s="596">
        <f t="shared" si="30"/>
        <v>0</v>
      </c>
      <c r="AM19" s="587">
        <f t="shared" si="42"/>
        <v>0</v>
      </c>
      <c r="AN19" s="587">
        <f t="shared" si="27"/>
        <v>0</v>
      </c>
      <c r="AO19" s="587">
        <f t="shared" si="27"/>
        <v>0</v>
      </c>
      <c r="AP19" s="587">
        <f t="shared" si="27"/>
        <v>0</v>
      </c>
      <c r="AQ19" s="587">
        <f t="shared" si="27"/>
        <v>0</v>
      </c>
      <c r="AR19" s="587">
        <f t="shared" si="27"/>
        <v>0</v>
      </c>
      <c r="AS19" s="587">
        <f t="shared" si="27"/>
        <v>0</v>
      </c>
      <c r="AT19" s="587">
        <f t="shared" si="27"/>
        <v>0</v>
      </c>
      <c r="AU19" s="587">
        <f t="shared" si="27"/>
        <v>0</v>
      </c>
      <c r="AV19" s="604"/>
      <c r="AW19" s="597">
        <f t="shared" si="32"/>
        <v>0</v>
      </c>
      <c r="AX19" s="598">
        <f t="shared" si="33"/>
        <v>0</v>
      </c>
      <c r="AY19" s="598">
        <f t="shared" si="34"/>
        <v>0</v>
      </c>
      <c r="AZ19" s="598">
        <f t="shared" si="35"/>
        <v>0</v>
      </c>
      <c r="BA19" s="598">
        <f t="shared" si="36"/>
        <v>0</v>
      </c>
      <c r="BB19" s="598">
        <f t="shared" si="37"/>
        <v>0</v>
      </c>
      <c r="BC19" s="598">
        <f t="shared" si="38"/>
        <v>0</v>
      </c>
      <c r="BD19" s="598">
        <f t="shared" si="39"/>
        <v>0</v>
      </c>
      <c r="BE19" s="599">
        <f t="shared" si="40"/>
        <v>0</v>
      </c>
      <c r="BF19" s="600">
        <f t="shared" si="41"/>
        <v>0</v>
      </c>
    </row>
    <row r="20" spans="1:58" ht="20.25" customHeight="1" thickBot="1" x14ac:dyDescent="0.25">
      <c r="A20" s="577">
        <v>37</v>
      </c>
      <c r="B20" s="602">
        <f t="shared" si="3"/>
        <v>0</v>
      </c>
      <c r="C20" s="603"/>
      <c r="D20" s="593">
        <f t="shared" si="4"/>
        <v>0</v>
      </c>
      <c r="E20" s="594">
        <f t="shared" si="5"/>
        <v>0</v>
      </c>
      <c r="F20" s="594">
        <f t="shared" si="6"/>
        <v>0</v>
      </c>
      <c r="G20" s="595">
        <f t="shared" si="7"/>
        <v>0</v>
      </c>
      <c r="H20" s="1268">
        <f t="shared" si="8"/>
        <v>0</v>
      </c>
      <c r="I20" s="595">
        <f t="shared" si="9"/>
        <v>0</v>
      </c>
      <c r="J20" s="594">
        <f t="shared" si="10"/>
        <v>0</v>
      </c>
      <c r="K20" s="1421">
        <f t="shared" si="11"/>
        <v>0</v>
      </c>
      <c r="L20" s="594">
        <f t="shared" si="12"/>
        <v>0</v>
      </c>
      <c r="M20" s="595">
        <f t="shared" si="13"/>
        <v>0</v>
      </c>
      <c r="N20" s="595">
        <f t="shared" si="14"/>
        <v>0</v>
      </c>
      <c r="O20" s="595">
        <f t="shared" si="15"/>
        <v>0</v>
      </c>
      <c r="P20" s="595">
        <f t="shared" si="16"/>
        <v>0</v>
      </c>
      <c r="Q20" s="595">
        <f t="shared" si="17"/>
        <v>0</v>
      </c>
      <c r="R20" s="595">
        <f t="shared" si="18"/>
        <v>0</v>
      </c>
      <c r="S20" s="594">
        <f t="shared" si="19"/>
        <v>0</v>
      </c>
      <c r="T20" s="595">
        <f>INDEX(Tabelle,$A21,18)</f>
        <v>0</v>
      </c>
      <c r="U20" s="594">
        <f t="shared" si="21"/>
        <v>0</v>
      </c>
      <c r="V20" s="594">
        <f t="shared" si="22"/>
        <v>0</v>
      </c>
      <c r="W20" s="594">
        <f t="shared" si="23"/>
        <v>0</v>
      </c>
      <c r="X20" s="594">
        <f t="shared" si="24"/>
        <v>0</v>
      </c>
      <c r="Y20" s="580">
        <f t="shared" si="25"/>
        <v>0</v>
      </c>
      <c r="Z20" s="580">
        <f t="shared" si="26"/>
        <v>0</v>
      </c>
      <c r="AA20" s="1414">
        <f t="shared" si="29"/>
        <v>0</v>
      </c>
      <c r="AB20" s="582"/>
      <c r="AC20" s="583"/>
      <c r="AD20" s="583"/>
      <c r="AE20" s="583"/>
      <c r="AF20" s="583"/>
      <c r="AG20" s="583"/>
      <c r="AH20" s="583"/>
      <c r="AI20" s="584"/>
      <c r="AJ20" s="601"/>
      <c r="AL20" s="596">
        <f t="shared" si="30"/>
        <v>0</v>
      </c>
      <c r="AM20" s="587">
        <f t="shared" si="42"/>
        <v>0</v>
      </c>
      <c r="AN20" s="587">
        <f t="shared" ref="AN20:AN24" si="43">IF(AC20=0,0,IF(AC$3="TM",AC20/$D20*100,AC20))</f>
        <v>0</v>
      </c>
      <c r="AO20" s="587">
        <f t="shared" ref="AO20:AO24" si="44">IF(AD20=0,0,IF(AD$3="TM",AD20/$D20*100,AD20))</f>
        <v>0</v>
      </c>
      <c r="AP20" s="587">
        <f t="shared" ref="AP20:AP24" si="45">IF(AE20=0,0,IF(AE$3="TM",AE20/$D20*100,AE20))</f>
        <v>0</v>
      </c>
      <c r="AQ20" s="587">
        <f t="shared" ref="AQ20:AQ24" si="46">IF(AF20=0,0,IF(AF$3="TM",AF20/$D20*100,AF20))</f>
        <v>0</v>
      </c>
      <c r="AR20" s="587">
        <f t="shared" ref="AR20:AR24" si="47">IF(AG20=0,0,IF(AG$3="TM",AG20/$D20*100,AG20))</f>
        <v>0</v>
      </c>
      <c r="AS20" s="587">
        <f t="shared" ref="AS20:AS24" si="48">IF(AH20=0,0,IF(AH$3="TM",AH20/$D20*100,AH20))</f>
        <v>0</v>
      </c>
      <c r="AT20" s="587">
        <f t="shared" ref="AT20:AT24" si="49">IF(AI20=0,0,IF(AI$3="TM",AI20/$D20*100,AI20))</f>
        <v>0</v>
      </c>
      <c r="AU20" s="587">
        <f t="shared" ref="AU20:AU24" si="50">IF(AJ20=0,0,IF(AJ$3="TM",AJ20/$D20*100,AJ20))</f>
        <v>0</v>
      </c>
      <c r="AV20" s="604"/>
      <c r="AW20" s="597">
        <f t="shared" si="32"/>
        <v>0</v>
      </c>
      <c r="AX20" s="598">
        <f t="shared" si="33"/>
        <v>0</v>
      </c>
      <c r="AY20" s="598">
        <f t="shared" si="34"/>
        <v>0</v>
      </c>
      <c r="AZ20" s="598">
        <f t="shared" si="35"/>
        <v>0</v>
      </c>
      <c r="BA20" s="598">
        <f t="shared" si="36"/>
        <v>0</v>
      </c>
      <c r="BB20" s="598">
        <f t="shared" si="37"/>
        <v>0</v>
      </c>
      <c r="BC20" s="598">
        <f t="shared" si="38"/>
        <v>0</v>
      </c>
      <c r="BD20" s="598">
        <f t="shared" si="39"/>
        <v>0</v>
      </c>
      <c r="BE20" s="599">
        <f t="shared" si="40"/>
        <v>0</v>
      </c>
      <c r="BF20" s="600">
        <f t="shared" si="41"/>
        <v>0</v>
      </c>
    </row>
    <row r="21" spans="1:58" ht="20.25" customHeight="1" thickBot="1" x14ac:dyDescent="0.25">
      <c r="A21" s="577">
        <v>37</v>
      </c>
      <c r="B21" s="602">
        <f t="shared" si="3"/>
        <v>0</v>
      </c>
      <c r="C21" s="603"/>
      <c r="D21" s="593">
        <f t="shared" si="4"/>
        <v>0</v>
      </c>
      <c r="E21" s="594">
        <f t="shared" si="5"/>
        <v>0</v>
      </c>
      <c r="F21" s="594">
        <f t="shared" si="6"/>
        <v>0</v>
      </c>
      <c r="G21" s="595">
        <f t="shared" si="7"/>
        <v>0</v>
      </c>
      <c r="H21" s="1268">
        <f t="shared" si="8"/>
        <v>0</v>
      </c>
      <c r="I21" s="595">
        <f t="shared" si="9"/>
        <v>0</v>
      </c>
      <c r="J21" s="594">
        <f t="shared" si="10"/>
        <v>0</v>
      </c>
      <c r="K21" s="1421">
        <f t="shared" si="11"/>
        <v>0</v>
      </c>
      <c r="L21" s="594">
        <f t="shared" si="12"/>
        <v>0</v>
      </c>
      <c r="M21" s="595">
        <f t="shared" si="13"/>
        <v>0</v>
      </c>
      <c r="N21" s="595">
        <f t="shared" si="14"/>
        <v>0</v>
      </c>
      <c r="O21" s="595">
        <f t="shared" si="15"/>
        <v>0</v>
      </c>
      <c r="P21" s="595">
        <f t="shared" si="16"/>
        <v>0</v>
      </c>
      <c r="Q21" s="595">
        <f t="shared" si="17"/>
        <v>0</v>
      </c>
      <c r="R21" s="595">
        <f t="shared" si="18"/>
        <v>0</v>
      </c>
      <c r="S21" s="594">
        <f t="shared" si="19"/>
        <v>0</v>
      </c>
      <c r="T21" s="595">
        <f>INDEX(Tabelle,$A21,18)</f>
        <v>0</v>
      </c>
      <c r="U21" s="594">
        <f t="shared" si="21"/>
        <v>0</v>
      </c>
      <c r="V21" s="594">
        <f t="shared" si="22"/>
        <v>0</v>
      </c>
      <c r="W21" s="594">
        <f t="shared" si="23"/>
        <v>0</v>
      </c>
      <c r="X21" s="594">
        <f t="shared" si="24"/>
        <v>0</v>
      </c>
      <c r="Y21" s="580">
        <f t="shared" si="25"/>
        <v>0</v>
      </c>
      <c r="Z21" s="580">
        <f t="shared" si="26"/>
        <v>0</v>
      </c>
      <c r="AA21" s="1414">
        <f t="shared" si="29"/>
        <v>0</v>
      </c>
      <c r="AB21" s="582"/>
      <c r="AC21" s="583"/>
      <c r="AD21" s="583"/>
      <c r="AE21" s="583"/>
      <c r="AF21" s="583"/>
      <c r="AG21" s="583"/>
      <c r="AH21" s="583"/>
      <c r="AI21" s="584"/>
      <c r="AJ21" s="601"/>
      <c r="AL21" s="596">
        <f t="shared" si="30"/>
        <v>0</v>
      </c>
      <c r="AM21" s="587">
        <f t="shared" si="42"/>
        <v>0</v>
      </c>
      <c r="AN21" s="587">
        <f t="shared" si="43"/>
        <v>0</v>
      </c>
      <c r="AO21" s="587">
        <f t="shared" si="44"/>
        <v>0</v>
      </c>
      <c r="AP21" s="587">
        <f t="shared" si="45"/>
        <v>0</v>
      </c>
      <c r="AQ21" s="587">
        <f t="shared" si="46"/>
        <v>0</v>
      </c>
      <c r="AR21" s="587">
        <f t="shared" si="47"/>
        <v>0</v>
      </c>
      <c r="AS21" s="587">
        <f t="shared" si="48"/>
        <v>0</v>
      </c>
      <c r="AT21" s="587">
        <f t="shared" si="49"/>
        <v>0</v>
      </c>
      <c r="AU21" s="587">
        <f t="shared" si="50"/>
        <v>0</v>
      </c>
      <c r="AV21" s="604"/>
      <c r="AW21" s="597">
        <f t="shared" si="32"/>
        <v>0</v>
      </c>
      <c r="AX21" s="598">
        <f t="shared" si="33"/>
        <v>0</v>
      </c>
      <c r="AY21" s="598">
        <f t="shared" si="34"/>
        <v>0</v>
      </c>
      <c r="AZ21" s="598">
        <f t="shared" si="35"/>
        <v>0</v>
      </c>
      <c r="BA21" s="598">
        <f t="shared" si="36"/>
        <v>0</v>
      </c>
      <c r="BB21" s="598">
        <f t="shared" si="37"/>
        <v>0</v>
      </c>
      <c r="BC21" s="598">
        <f t="shared" si="38"/>
        <v>0</v>
      </c>
      <c r="BD21" s="598">
        <f t="shared" si="39"/>
        <v>0</v>
      </c>
      <c r="BE21" s="599">
        <f t="shared" si="40"/>
        <v>0</v>
      </c>
      <c r="BF21" s="600">
        <f t="shared" si="41"/>
        <v>0</v>
      </c>
    </row>
    <row r="22" spans="1:58" ht="20.25" customHeight="1" thickBot="1" x14ac:dyDescent="0.25">
      <c r="A22" s="577">
        <v>1</v>
      </c>
      <c r="B22" s="602">
        <f t="shared" si="3"/>
        <v>0</v>
      </c>
      <c r="C22" s="603"/>
      <c r="D22" s="593">
        <f t="shared" si="4"/>
        <v>1E-4</v>
      </c>
      <c r="E22" s="594">
        <f t="shared" si="5"/>
        <v>0</v>
      </c>
      <c r="F22" s="594">
        <f t="shared" si="6"/>
        <v>0</v>
      </c>
      <c r="G22" s="595">
        <f t="shared" si="7"/>
        <v>0</v>
      </c>
      <c r="H22" s="1268">
        <f t="shared" si="8"/>
        <v>0</v>
      </c>
      <c r="I22" s="595">
        <f t="shared" si="9"/>
        <v>0</v>
      </c>
      <c r="J22" s="594">
        <f t="shared" si="10"/>
        <v>0</v>
      </c>
      <c r="K22" s="1421">
        <f t="shared" si="11"/>
        <v>0</v>
      </c>
      <c r="L22" s="594">
        <f t="shared" si="12"/>
        <v>0</v>
      </c>
      <c r="M22" s="595">
        <f t="shared" si="13"/>
        <v>0</v>
      </c>
      <c r="N22" s="595">
        <f t="shared" si="14"/>
        <v>0</v>
      </c>
      <c r="O22" s="595">
        <f t="shared" si="15"/>
        <v>0</v>
      </c>
      <c r="P22" s="595">
        <f t="shared" si="16"/>
        <v>0</v>
      </c>
      <c r="Q22" s="595">
        <f t="shared" si="17"/>
        <v>0</v>
      </c>
      <c r="R22" s="595">
        <f t="shared" si="18"/>
        <v>0</v>
      </c>
      <c r="S22" s="594">
        <f t="shared" si="19"/>
        <v>0</v>
      </c>
      <c r="T22" s="595">
        <f>INDEX(Tabelle,$A22,18)</f>
        <v>0</v>
      </c>
      <c r="U22" s="594">
        <f t="shared" si="21"/>
        <v>0</v>
      </c>
      <c r="V22" s="594">
        <f t="shared" si="22"/>
        <v>0</v>
      </c>
      <c r="W22" s="594">
        <f t="shared" si="23"/>
        <v>0</v>
      </c>
      <c r="X22" s="594">
        <f t="shared" si="24"/>
        <v>0</v>
      </c>
      <c r="Y22" s="580">
        <f t="shared" si="25"/>
        <v>0</v>
      </c>
      <c r="Z22" s="580">
        <f t="shared" si="26"/>
        <v>0</v>
      </c>
      <c r="AA22" s="1414">
        <f t="shared" si="29"/>
        <v>0</v>
      </c>
      <c r="AB22" s="582"/>
      <c r="AC22" s="583"/>
      <c r="AD22" s="583"/>
      <c r="AE22" s="583"/>
      <c r="AF22" s="583"/>
      <c r="AG22" s="583"/>
      <c r="AH22" s="583"/>
      <c r="AI22" s="584"/>
      <c r="AJ22" s="601"/>
      <c r="AL22" s="596">
        <f t="shared" si="30"/>
        <v>0</v>
      </c>
      <c r="AM22" s="587">
        <f t="shared" si="42"/>
        <v>0</v>
      </c>
      <c r="AN22" s="587">
        <f t="shared" si="43"/>
        <v>0</v>
      </c>
      <c r="AO22" s="587">
        <f t="shared" si="44"/>
        <v>0</v>
      </c>
      <c r="AP22" s="587">
        <f t="shared" si="45"/>
        <v>0</v>
      </c>
      <c r="AQ22" s="587">
        <f t="shared" si="46"/>
        <v>0</v>
      </c>
      <c r="AR22" s="587">
        <f t="shared" si="47"/>
        <v>0</v>
      </c>
      <c r="AS22" s="587">
        <f t="shared" si="48"/>
        <v>0</v>
      </c>
      <c r="AT22" s="587">
        <f t="shared" si="49"/>
        <v>0</v>
      </c>
      <c r="AU22" s="587">
        <f t="shared" si="50"/>
        <v>0</v>
      </c>
      <c r="AV22" s="604"/>
      <c r="AW22" s="597">
        <f t="shared" si="32"/>
        <v>0</v>
      </c>
      <c r="AX22" s="598">
        <f t="shared" si="33"/>
        <v>0</v>
      </c>
      <c r="AY22" s="598">
        <f t="shared" si="34"/>
        <v>0</v>
      </c>
      <c r="AZ22" s="598">
        <f t="shared" si="35"/>
        <v>0</v>
      </c>
      <c r="BA22" s="598">
        <f t="shared" si="36"/>
        <v>0</v>
      </c>
      <c r="BB22" s="598">
        <f t="shared" si="37"/>
        <v>0</v>
      </c>
      <c r="BC22" s="598">
        <f t="shared" si="38"/>
        <v>0</v>
      </c>
      <c r="BD22" s="598">
        <f t="shared" si="39"/>
        <v>0</v>
      </c>
      <c r="BE22" s="599">
        <f t="shared" si="40"/>
        <v>0</v>
      </c>
      <c r="BF22" s="600">
        <f t="shared" si="41"/>
        <v>0</v>
      </c>
    </row>
    <row r="23" spans="1:58" ht="20.25" customHeight="1" thickBot="1" x14ac:dyDescent="0.25">
      <c r="A23" s="577">
        <v>1</v>
      </c>
      <c r="B23" s="602">
        <f t="shared" si="3"/>
        <v>0</v>
      </c>
      <c r="C23" s="603"/>
      <c r="D23" s="593">
        <f t="shared" si="4"/>
        <v>1E-4</v>
      </c>
      <c r="E23" s="594">
        <f t="shared" si="5"/>
        <v>0</v>
      </c>
      <c r="F23" s="594">
        <f t="shared" si="6"/>
        <v>0</v>
      </c>
      <c r="G23" s="595">
        <f t="shared" si="7"/>
        <v>0</v>
      </c>
      <c r="H23" s="1268">
        <f t="shared" si="8"/>
        <v>0</v>
      </c>
      <c r="I23" s="595">
        <f t="shared" si="9"/>
        <v>0</v>
      </c>
      <c r="J23" s="594">
        <f t="shared" si="10"/>
        <v>0</v>
      </c>
      <c r="K23" s="1421">
        <f t="shared" si="11"/>
        <v>0</v>
      </c>
      <c r="L23" s="594">
        <f t="shared" si="12"/>
        <v>0</v>
      </c>
      <c r="M23" s="595">
        <f t="shared" si="13"/>
        <v>0</v>
      </c>
      <c r="N23" s="595">
        <f t="shared" si="14"/>
        <v>0</v>
      </c>
      <c r="O23" s="595">
        <f t="shared" si="15"/>
        <v>0</v>
      </c>
      <c r="P23" s="595">
        <f t="shared" si="16"/>
        <v>0</v>
      </c>
      <c r="Q23" s="595">
        <f t="shared" si="17"/>
        <v>0</v>
      </c>
      <c r="R23" s="595">
        <f t="shared" si="18"/>
        <v>0</v>
      </c>
      <c r="S23" s="594">
        <f t="shared" si="19"/>
        <v>0</v>
      </c>
      <c r="T23" s="595">
        <f>INDEX(Tabelle,$A23,18)</f>
        <v>0</v>
      </c>
      <c r="U23" s="594">
        <f t="shared" si="21"/>
        <v>0</v>
      </c>
      <c r="V23" s="594">
        <f t="shared" si="22"/>
        <v>0</v>
      </c>
      <c r="W23" s="594">
        <f t="shared" si="23"/>
        <v>0</v>
      </c>
      <c r="X23" s="594">
        <f t="shared" si="24"/>
        <v>0</v>
      </c>
      <c r="Y23" s="580">
        <f t="shared" si="25"/>
        <v>0</v>
      </c>
      <c r="Z23" s="580">
        <f t="shared" si="26"/>
        <v>0</v>
      </c>
      <c r="AA23" s="1414">
        <f t="shared" si="29"/>
        <v>0</v>
      </c>
      <c r="AB23" s="582"/>
      <c r="AC23" s="583"/>
      <c r="AD23" s="583"/>
      <c r="AE23" s="583"/>
      <c r="AF23" s="583"/>
      <c r="AG23" s="583"/>
      <c r="AH23" s="583"/>
      <c r="AI23" s="584"/>
      <c r="AJ23" s="601"/>
      <c r="AL23" s="596">
        <f t="shared" si="30"/>
        <v>0</v>
      </c>
      <c r="AM23" s="587">
        <f t="shared" si="42"/>
        <v>0</v>
      </c>
      <c r="AN23" s="587">
        <f t="shared" si="43"/>
        <v>0</v>
      </c>
      <c r="AO23" s="587">
        <f t="shared" si="44"/>
        <v>0</v>
      </c>
      <c r="AP23" s="587">
        <f t="shared" si="45"/>
        <v>0</v>
      </c>
      <c r="AQ23" s="587">
        <f t="shared" si="46"/>
        <v>0</v>
      </c>
      <c r="AR23" s="587">
        <f t="shared" si="47"/>
        <v>0</v>
      </c>
      <c r="AS23" s="587">
        <f t="shared" si="48"/>
        <v>0</v>
      </c>
      <c r="AT23" s="587">
        <f t="shared" si="49"/>
        <v>0</v>
      </c>
      <c r="AU23" s="587">
        <f t="shared" si="50"/>
        <v>0</v>
      </c>
      <c r="AV23" s="604"/>
      <c r="AW23" s="597">
        <f t="shared" si="32"/>
        <v>0</v>
      </c>
      <c r="AX23" s="598">
        <f t="shared" si="33"/>
        <v>0</v>
      </c>
      <c r="AY23" s="598">
        <f t="shared" si="34"/>
        <v>0</v>
      </c>
      <c r="AZ23" s="598">
        <f t="shared" si="35"/>
        <v>0</v>
      </c>
      <c r="BA23" s="598">
        <f t="shared" si="36"/>
        <v>0</v>
      </c>
      <c r="BB23" s="598">
        <f t="shared" si="37"/>
        <v>0</v>
      </c>
      <c r="BC23" s="598">
        <f t="shared" si="38"/>
        <v>0</v>
      </c>
      <c r="BD23" s="598">
        <f t="shared" si="39"/>
        <v>0</v>
      </c>
      <c r="BE23" s="599">
        <f t="shared" si="40"/>
        <v>0</v>
      </c>
      <c r="BF23" s="600">
        <f t="shared" si="41"/>
        <v>0</v>
      </c>
    </row>
    <row r="24" spans="1:58" ht="20.25" customHeight="1" thickBot="1" x14ac:dyDescent="0.25">
      <c r="A24" s="577">
        <v>63</v>
      </c>
      <c r="B24" s="605" t="s">
        <v>241</v>
      </c>
      <c r="C24" s="606"/>
      <c r="D24" s="607">
        <v>1E-3</v>
      </c>
      <c r="E24" s="608">
        <v>0</v>
      </c>
      <c r="F24" s="608">
        <v>0</v>
      </c>
      <c r="G24" s="609">
        <v>0</v>
      </c>
      <c r="H24" s="1269">
        <v>0</v>
      </c>
      <c r="I24" s="609">
        <v>0</v>
      </c>
      <c r="J24" s="608">
        <v>0</v>
      </c>
      <c r="K24" s="608"/>
      <c r="L24" s="608">
        <v>1</v>
      </c>
      <c r="M24" s="609">
        <v>0</v>
      </c>
      <c r="N24" s="609">
        <v>0</v>
      </c>
      <c r="O24" s="609">
        <v>0</v>
      </c>
      <c r="P24" s="609">
        <v>0</v>
      </c>
      <c r="Q24" s="609">
        <v>0</v>
      </c>
      <c r="R24" s="609">
        <v>0</v>
      </c>
      <c r="S24" s="608">
        <v>0</v>
      </c>
      <c r="T24" s="609">
        <v>0</v>
      </c>
      <c r="U24" s="608">
        <v>0</v>
      </c>
      <c r="V24" s="608">
        <v>0</v>
      </c>
      <c r="W24" s="608">
        <v>0</v>
      </c>
      <c r="X24" s="608">
        <v>0</v>
      </c>
      <c r="Y24" s="580">
        <v>0</v>
      </c>
      <c r="Z24" s="580">
        <v>0</v>
      </c>
      <c r="AA24" s="1414">
        <v>1E-3</v>
      </c>
      <c r="AB24" s="610"/>
      <c r="AC24" s="611"/>
      <c r="AD24" s="611"/>
      <c r="AE24" s="611"/>
      <c r="AF24" s="611"/>
      <c r="AG24" s="611"/>
      <c r="AH24" s="611"/>
      <c r="AI24" s="612"/>
      <c r="AJ24" s="613"/>
      <c r="AL24" s="614" t="str">
        <f t="shared" si="30"/>
        <v>Wasser</v>
      </c>
      <c r="AM24" s="615">
        <f t="shared" si="42"/>
        <v>0</v>
      </c>
      <c r="AN24" s="615">
        <f t="shared" si="43"/>
        <v>0</v>
      </c>
      <c r="AO24" s="615">
        <f t="shared" si="44"/>
        <v>0</v>
      </c>
      <c r="AP24" s="615">
        <f t="shared" si="45"/>
        <v>0</v>
      </c>
      <c r="AQ24" s="615">
        <f t="shared" si="46"/>
        <v>0</v>
      </c>
      <c r="AR24" s="615">
        <f t="shared" si="47"/>
        <v>0</v>
      </c>
      <c r="AS24" s="615">
        <f t="shared" si="48"/>
        <v>0</v>
      </c>
      <c r="AT24" s="615">
        <f t="shared" si="49"/>
        <v>0</v>
      </c>
      <c r="AU24" s="615">
        <f t="shared" si="50"/>
        <v>0</v>
      </c>
      <c r="AV24" s="604"/>
      <c r="AW24" s="616">
        <f t="shared" si="32"/>
        <v>0</v>
      </c>
      <c r="AX24" s="617">
        <f t="shared" si="33"/>
        <v>0</v>
      </c>
      <c r="AY24" s="617">
        <f t="shared" si="34"/>
        <v>0</v>
      </c>
      <c r="AZ24" s="617">
        <f t="shared" si="35"/>
        <v>0</v>
      </c>
      <c r="BA24" s="617">
        <f t="shared" si="36"/>
        <v>0</v>
      </c>
      <c r="BB24" s="617">
        <f t="shared" si="37"/>
        <v>0</v>
      </c>
      <c r="BC24" s="617">
        <f t="shared" si="38"/>
        <v>0</v>
      </c>
      <c r="BD24" s="617">
        <f t="shared" si="39"/>
        <v>0</v>
      </c>
      <c r="BE24" s="618">
        <f t="shared" si="40"/>
        <v>0</v>
      </c>
      <c r="BF24" s="619">
        <f t="shared" si="41"/>
        <v>0</v>
      </c>
    </row>
    <row r="25" spans="1:58" ht="20.25" customHeight="1" thickBot="1" x14ac:dyDescent="0.25">
      <c r="B25" s="1514" t="s">
        <v>247</v>
      </c>
      <c r="C25" s="1514"/>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781"/>
      <c r="AC25" s="782"/>
      <c r="AD25" s="782"/>
      <c r="AE25" s="782"/>
      <c r="AF25" s="782"/>
      <c r="AG25" s="782"/>
      <c r="AH25" s="782"/>
      <c r="AI25" s="783"/>
      <c r="AJ25" s="784"/>
      <c r="AK25" s="620"/>
      <c r="AL25" s="621" t="s">
        <v>243</v>
      </c>
      <c r="AM25" s="622">
        <f>SUM(AM4:AM24)</f>
        <v>0</v>
      </c>
      <c r="AN25" s="622">
        <f t="shared" ref="AN25:AU25" si="51">SUM(AN4:AN24)</f>
        <v>0</v>
      </c>
      <c r="AO25" s="622">
        <f t="shared" si="51"/>
        <v>0</v>
      </c>
      <c r="AP25" s="622">
        <f t="shared" si="51"/>
        <v>0</v>
      </c>
      <c r="AQ25" s="622">
        <f t="shared" si="51"/>
        <v>0</v>
      </c>
      <c r="AR25" s="622">
        <f t="shared" si="51"/>
        <v>0</v>
      </c>
      <c r="AS25" s="622">
        <f t="shared" si="51"/>
        <v>0</v>
      </c>
      <c r="AT25" s="622">
        <f t="shared" si="51"/>
        <v>0</v>
      </c>
      <c r="AU25" s="622">
        <f t="shared" si="51"/>
        <v>0</v>
      </c>
      <c r="AV25" s="623"/>
      <c r="AW25" s="624">
        <f>SUM(AW4:AW24)</f>
        <v>0</v>
      </c>
      <c r="AX25" s="625">
        <f t="shared" ref="AX25:BF25" si="52">SUM(AX4:AX24)</f>
        <v>0</v>
      </c>
      <c r="AY25" s="625">
        <f t="shared" si="52"/>
        <v>0</v>
      </c>
      <c r="AZ25" s="625">
        <f t="shared" si="52"/>
        <v>0</v>
      </c>
      <c r="BA25" s="625">
        <f t="shared" si="52"/>
        <v>0</v>
      </c>
      <c r="BB25" s="625">
        <f t="shared" si="52"/>
        <v>0</v>
      </c>
      <c r="BC25" s="625">
        <f t="shared" si="52"/>
        <v>0</v>
      </c>
      <c r="BD25" s="625">
        <f t="shared" si="52"/>
        <v>0</v>
      </c>
      <c r="BE25" s="625">
        <f t="shared" si="52"/>
        <v>0</v>
      </c>
      <c r="BF25" s="626">
        <f t="shared" si="52"/>
        <v>0</v>
      </c>
    </row>
    <row r="26" spans="1:58" ht="20.25" customHeight="1" x14ac:dyDescent="0.2">
      <c r="B26" s="627"/>
      <c r="C26" s="627"/>
      <c r="D26" s="628"/>
      <c r="E26" s="628"/>
      <c r="F26" s="628"/>
      <c r="G26" s="628"/>
      <c r="H26" s="628"/>
      <c r="I26" s="628"/>
      <c r="J26" s="628"/>
      <c r="K26" s="628"/>
      <c r="L26" s="628"/>
      <c r="M26" s="628"/>
      <c r="N26" s="628"/>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c r="AL26" s="629" t="s">
        <v>242</v>
      </c>
      <c r="AM26" s="630">
        <f>(AM$4*$D$4+AM$5*$D$5+AM$6*$D$6+AM$7*$D$7+AM$8*$D$8+AM$9*$D$9+AM$10*$D$10+AM$11*$D$11+AM$12*$D$12+AM$13*$D$13+AM$14*$D$14+AM$15*$D$15+AM$16*$D$16+AM$17*$D$17+AM$18*$D$18+AM$19*$D$19+AM$20*$D$20+AM$21*$D$21+AM$22*$D$22+AM$23*$D$23+AM$24*$D$24)/100</f>
        <v>0</v>
      </c>
      <c r="AN26" s="630">
        <f t="shared" ref="AN26:AU26" si="53">(AN$4*$D$4+AN$5*$D$5+AN$6*$D$6+AN$7*$D$7+AN$8*$D$8+AN$9*$D$9+AN$10*$D$10+AN$11*$D$11+AN$12*$D$12+AN$13*$D$13+AN$14*$D$14+AN$15*$D$15+AN$16*$D$16+AN$17*$D$17+AN$18*$D$18+AN$19*$D$19+AN$20*$D$20+AN$21*$D$21+AN$22*$D$22+AN$23*$D$23+AN$24*$D$24)/100</f>
        <v>0</v>
      </c>
      <c r="AO26" s="630">
        <f t="shared" si="53"/>
        <v>0</v>
      </c>
      <c r="AP26" s="630">
        <f t="shared" si="53"/>
        <v>0</v>
      </c>
      <c r="AQ26" s="630">
        <f t="shared" si="53"/>
        <v>0</v>
      </c>
      <c r="AR26" s="630">
        <f t="shared" si="53"/>
        <v>0</v>
      </c>
      <c r="AS26" s="630">
        <f t="shared" si="53"/>
        <v>0</v>
      </c>
      <c r="AT26" s="630">
        <f t="shared" si="53"/>
        <v>0</v>
      </c>
      <c r="AU26" s="630">
        <f t="shared" si="53"/>
        <v>0</v>
      </c>
      <c r="AV26" s="873" t="s">
        <v>20</v>
      </c>
      <c r="AW26" s="639">
        <f t="shared" ref="AW26:BE26" si="54">IF(AM$26=0,0,AM50/AM$26)</f>
        <v>0</v>
      </c>
      <c r="AX26" s="639">
        <f t="shared" si="54"/>
        <v>0</v>
      </c>
      <c r="AY26" s="639">
        <f t="shared" si="54"/>
        <v>0</v>
      </c>
      <c r="AZ26" s="639">
        <f t="shared" si="54"/>
        <v>0</v>
      </c>
      <c r="BA26" s="639">
        <f t="shared" si="54"/>
        <v>0</v>
      </c>
      <c r="BB26" s="639">
        <f t="shared" si="54"/>
        <v>0</v>
      </c>
      <c r="BC26" s="639">
        <f t="shared" si="54"/>
        <v>0</v>
      </c>
      <c r="BD26" s="639">
        <f t="shared" si="54"/>
        <v>0</v>
      </c>
      <c r="BE26" s="640">
        <f t="shared" si="54"/>
        <v>0</v>
      </c>
      <c r="BF26" s="633"/>
    </row>
    <row r="27" spans="1:58" ht="20.25" customHeight="1" x14ac:dyDescent="0.2">
      <c r="B27" s="627"/>
      <c r="C27" s="627"/>
      <c r="D27" s="628"/>
      <c r="E27" s="628"/>
      <c r="F27" s="628"/>
      <c r="G27" s="628"/>
      <c r="H27" s="628"/>
      <c r="I27" s="628"/>
      <c r="J27" s="628"/>
      <c r="K27" s="628"/>
      <c r="L27" s="628"/>
      <c r="M27" s="628"/>
      <c r="N27" s="628"/>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9" t="s">
        <v>370</v>
      </c>
      <c r="AM27" s="630" t="str">
        <f>IF(AM26=0,"",AM26/AM25*100)</f>
        <v/>
      </c>
      <c r="AN27" s="630" t="str">
        <f t="shared" ref="AN27:AU27" si="55">IF(AN26=0,"",AN26/AN25*100)</f>
        <v/>
      </c>
      <c r="AO27" s="630" t="str">
        <f t="shared" si="55"/>
        <v/>
      </c>
      <c r="AP27" s="630" t="str">
        <f t="shared" si="55"/>
        <v/>
      </c>
      <c r="AQ27" s="630" t="str">
        <f t="shared" si="55"/>
        <v/>
      </c>
      <c r="AR27" s="630" t="str">
        <f t="shared" si="55"/>
        <v/>
      </c>
      <c r="AS27" s="630" t="str">
        <f t="shared" si="55"/>
        <v/>
      </c>
      <c r="AT27" s="630" t="str">
        <f t="shared" si="55"/>
        <v/>
      </c>
      <c r="AU27" s="630" t="str">
        <f t="shared" si="55"/>
        <v/>
      </c>
      <c r="AV27" s="872" t="s">
        <v>251</v>
      </c>
      <c r="AW27" s="631">
        <f t="shared" ref="AW27:BE29" si="56">IF(AM$26=0,0,AM53/AM$26)</f>
        <v>0</v>
      </c>
      <c r="AX27" s="631">
        <f t="shared" si="56"/>
        <v>0</v>
      </c>
      <c r="AY27" s="631">
        <f t="shared" si="56"/>
        <v>0</v>
      </c>
      <c r="AZ27" s="631">
        <f t="shared" si="56"/>
        <v>0</v>
      </c>
      <c r="BA27" s="631">
        <f t="shared" si="56"/>
        <v>0</v>
      </c>
      <c r="BB27" s="631">
        <f t="shared" si="56"/>
        <v>0</v>
      </c>
      <c r="BC27" s="631">
        <f t="shared" si="56"/>
        <v>0</v>
      </c>
      <c r="BD27" s="631">
        <f t="shared" si="56"/>
        <v>0</v>
      </c>
      <c r="BE27" s="632">
        <f t="shared" si="56"/>
        <v>0</v>
      </c>
      <c r="BF27" s="637"/>
    </row>
    <row r="28" spans="1:58" ht="20.25" customHeight="1" x14ac:dyDescent="0.2">
      <c r="B28" s="627"/>
      <c r="C28" s="638"/>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9" t="s">
        <v>432</v>
      </c>
      <c r="AM28" s="630" t="str">
        <f>IF((AM42-37.7)/3.28&lt;5,"-",(AM42-37.7)/3.28)</f>
        <v>-</v>
      </c>
      <c r="AN28" s="630" t="str">
        <f t="shared" ref="AN28:AU28" si="57">IF((AN42-37.7)/3.28&lt;5,"-",(AN42-37.7)/3.28)</f>
        <v>-</v>
      </c>
      <c r="AO28" s="630" t="str">
        <f t="shared" si="57"/>
        <v>-</v>
      </c>
      <c r="AP28" s="630" t="str">
        <f t="shared" si="57"/>
        <v>-</v>
      </c>
      <c r="AQ28" s="630" t="str">
        <f t="shared" si="57"/>
        <v>-</v>
      </c>
      <c r="AR28" s="630" t="str">
        <f t="shared" si="57"/>
        <v>-</v>
      </c>
      <c r="AS28" s="630" t="str">
        <f t="shared" si="57"/>
        <v>-</v>
      </c>
      <c r="AT28" s="630" t="str">
        <f t="shared" si="57"/>
        <v>-</v>
      </c>
      <c r="AU28" s="630" t="str">
        <f t="shared" si="57"/>
        <v>-</v>
      </c>
      <c r="AV28" s="634" t="s">
        <v>258</v>
      </c>
      <c r="AW28" s="635">
        <f t="shared" si="56"/>
        <v>0</v>
      </c>
      <c r="AX28" s="635">
        <f t="shared" si="56"/>
        <v>0</v>
      </c>
      <c r="AY28" s="635">
        <f t="shared" si="56"/>
        <v>0</v>
      </c>
      <c r="AZ28" s="635">
        <f t="shared" si="56"/>
        <v>0</v>
      </c>
      <c r="BA28" s="635">
        <f t="shared" si="56"/>
        <v>0</v>
      </c>
      <c r="BB28" s="635">
        <f t="shared" si="56"/>
        <v>0</v>
      </c>
      <c r="BC28" s="635">
        <f t="shared" si="56"/>
        <v>0</v>
      </c>
      <c r="BD28" s="635">
        <f t="shared" si="56"/>
        <v>0</v>
      </c>
      <c r="BE28" s="636">
        <f t="shared" si="56"/>
        <v>0</v>
      </c>
      <c r="BF28" s="637"/>
    </row>
    <row r="29" spans="1:58" ht="20.25" customHeight="1" x14ac:dyDescent="0.2">
      <c r="B29" s="627"/>
      <c r="C29" s="627"/>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9" t="s">
        <v>464</v>
      </c>
      <c r="AM29" s="630" t="str">
        <f>IF((AM47-450)/85&lt;5,"-",(AM47-450)/85)</f>
        <v>-</v>
      </c>
      <c r="AN29" s="630" t="str">
        <f t="shared" ref="AN29:AU29" si="58">IF((AN47-450)/85&lt;5,"-",(AN47-450)/85)</f>
        <v>-</v>
      </c>
      <c r="AO29" s="630" t="str">
        <f t="shared" si="58"/>
        <v>-</v>
      </c>
      <c r="AP29" s="630" t="str">
        <f t="shared" si="58"/>
        <v>-</v>
      </c>
      <c r="AQ29" s="630" t="str">
        <f t="shared" si="58"/>
        <v>-</v>
      </c>
      <c r="AR29" s="630" t="str">
        <f t="shared" si="58"/>
        <v>-</v>
      </c>
      <c r="AS29" s="630" t="str">
        <f t="shared" si="58"/>
        <v>-</v>
      </c>
      <c r="AT29" s="630" t="str">
        <f t="shared" si="58"/>
        <v>-</v>
      </c>
      <c r="AU29" s="630" t="str">
        <f t="shared" si="58"/>
        <v>-</v>
      </c>
      <c r="AV29" s="634" t="s">
        <v>259</v>
      </c>
      <c r="AW29" s="635">
        <f t="shared" si="56"/>
        <v>0</v>
      </c>
      <c r="AX29" s="635">
        <f t="shared" si="56"/>
        <v>0</v>
      </c>
      <c r="AY29" s="635">
        <f t="shared" si="56"/>
        <v>0</v>
      </c>
      <c r="AZ29" s="635">
        <f t="shared" si="56"/>
        <v>0</v>
      </c>
      <c r="BA29" s="635">
        <f t="shared" si="56"/>
        <v>0</v>
      </c>
      <c r="BB29" s="635">
        <f t="shared" si="56"/>
        <v>0</v>
      </c>
      <c r="BC29" s="635">
        <f t="shared" si="56"/>
        <v>0</v>
      </c>
      <c r="BD29" s="635">
        <f t="shared" si="56"/>
        <v>0</v>
      </c>
      <c r="BE29" s="636">
        <f t="shared" si="56"/>
        <v>0</v>
      </c>
      <c r="BF29" s="637"/>
    </row>
    <row r="30" spans="1:58" ht="20.25" customHeight="1" x14ac:dyDescent="0.2">
      <c r="B30" s="627"/>
      <c r="C30" s="627"/>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42"/>
      <c r="AJ30" s="620"/>
      <c r="AK30" s="620"/>
      <c r="AL30" s="629" t="s">
        <v>244</v>
      </c>
      <c r="AM30" s="639">
        <f t="shared" ref="AM30" si="59">IF(AM$26=0,0,AM42/AM$26)</f>
        <v>0</v>
      </c>
      <c r="AN30" s="639">
        <f t="shared" ref="AN30:AU30" si="60">IF(AN$26=0,0,AN42/AN$26)</f>
        <v>0</v>
      </c>
      <c r="AO30" s="639">
        <f t="shared" si="60"/>
        <v>0</v>
      </c>
      <c r="AP30" s="639">
        <f t="shared" si="60"/>
        <v>0</v>
      </c>
      <c r="AQ30" s="639">
        <f t="shared" si="60"/>
        <v>0</v>
      </c>
      <c r="AR30" s="639">
        <f t="shared" si="60"/>
        <v>0</v>
      </c>
      <c r="AS30" s="639">
        <f t="shared" si="60"/>
        <v>0</v>
      </c>
      <c r="AT30" s="639">
        <f t="shared" si="60"/>
        <v>0</v>
      </c>
      <c r="AU30" s="639">
        <f t="shared" si="60"/>
        <v>0</v>
      </c>
      <c r="AV30" s="634" t="s">
        <v>253</v>
      </c>
      <c r="AW30" s="630">
        <f t="shared" ref="AW30:BE33" si="61">IF(AM$26=0,0,AM61/AM$26)</f>
        <v>0</v>
      </c>
      <c r="AX30" s="630">
        <f t="shared" si="61"/>
        <v>0</v>
      </c>
      <c r="AY30" s="630">
        <f t="shared" si="61"/>
        <v>0</v>
      </c>
      <c r="AZ30" s="630">
        <f t="shared" si="61"/>
        <v>0</v>
      </c>
      <c r="BA30" s="630">
        <f t="shared" si="61"/>
        <v>0</v>
      </c>
      <c r="BB30" s="630">
        <f t="shared" si="61"/>
        <v>0</v>
      </c>
      <c r="BC30" s="630">
        <f t="shared" si="61"/>
        <v>0</v>
      </c>
      <c r="BD30" s="630">
        <f t="shared" si="61"/>
        <v>0</v>
      </c>
      <c r="BE30" s="641">
        <f t="shared" si="61"/>
        <v>0</v>
      </c>
      <c r="BF30" s="637"/>
    </row>
    <row r="31" spans="1:58" ht="20.25" customHeight="1" x14ac:dyDescent="0.2">
      <c r="B31" s="627"/>
      <c r="C31" s="627"/>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42"/>
      <c r="AJ31" s="620"/>
      <c r="AK31" s="620"/>
      <c r="AL31" s="629" t="s">
        <v>260</v>
      </c>
      <c r="AM31" s="639">
        <f t="shared" ref="AM31" si="62">IF(AM$26=0,0,AM43/AM$26)</f>
        <v>0</v>
      </c>
      <c r="AN31" s="639">
        <f t="shared" ref="AN31:AU31" si="63">IF(AN$26=0,0,AN43/AN$26)</f>
        <v>0</v>
      </c>
      <c r="AO31" s="639">
        <f t="shared" si="63"/>
        <v>0</v>
      </c>
      <c r="AP31" s="639">
        <f t="shared" si="63"/>
        <v>0</v>
      </c>
      <c r="AQ31" s="639">
        <f t="shared" si="63"/>
        <v>0</v>
      </c>
      <c r="AR31" s="639">
        <f t="shared" si="63"/>
        <v>0</v>
      </c>
      <c r="AS31" s="639">
        <f t="shared" si="63"/>
        <v>0</v>
      </c>
      <c r="AT31" s="639">
        <f t="shared" si="63"/>
        <v>0</v>
      </c>
      <c r="AU31" s="639">
        <f t="shared" si="63"/>
        <v>0</v>
      </c>
      <c r="AV31" s="634" t="s">
        <v>254</v>
      </c>
      <c r="AW31" s="630">
        <f t="shared" si="61"/>
        <v>0</v>
      </c>
      <c r="AX31" s="630">
        <f t="shared" si="61"/>
        <v>0</v>
      </c>
      <c r="AY31" s="630">
        <f t="shared" si="61"/>
        <v>0</v>
      </c>
      <c r="AZ31" s="630">
        <f t="shared" si="61"/>
        <v>0</v>
      </c>
      <c r="BA31" s="630">
        <f t="shared" si="61"/>
        <v>0</v>
      </c>
      <c r="BB31" s="630">
        <f t="shared" si="61"/>
        <v>0</v>
      </c>
      <c r="BC31" s="630">
        <f t="shared" si="61"/>
        <v>0</v>
      </c>
      <c r="BD31" s="630">
        <f t="shared" si="61"/>
        <v>0</v>
      </c>
      <c r="BE31" s="641">
        <f t="shared" si="61"/>
        <v>0</v>
      </c>
      <c r="BF31" s="637"/>
    </row>
    <row r="32" spans="1:58" ht="20.25" customHeight="1" x14ac:dyDescent="0.2">
      <c r="B32" s="627"/>
      <c r="C32" s="627"/>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42"/>
      <c r="AJ32" s="620"/>
      <c r="AK32" s="620"/>
      <c r="AL32" s="629" t="s">
        <v>245</v>
      </c>
      <c r="AM32" s="635">
        <f t="shared" ref="AM32" si="64">IF(AM$26=0,0,AM47/AM$26)</f>
        <v>0</v>
      </c>
      <c r="AN32" s="635">
        <f t="shared" ref="AN32:AU32" si="65">IF(AN$26=0,0,AN47/AN$26)</f>
        <v>0</v>
      </c>
      <c r="AO32" s="635">
        <f t="shared" si="65"/>
        <v>0</v>
      </c>
      <c r="AP32" s="635">
        <f t="shared" si="65"/>
        <v>0</v>
      </c>
      <c r="AQ32" s="635">
        <f t="shared" si="65"/>
        <v>0</v>
      </c>
      <c r="AR32" s="635">
        <f t="shared" si="65"/>
        <v>0</v>
      </c>
      <c r="AS32" s="635">
        <f t="shared" si="65"/>
        <v>0</v>
      </c>
      <c r="AT32" s="635">
        <f t="shared" si="65"/>
        <v>0</v>
      </c>
      <c r="AU32" s="635">
        <f t="shared" si="65"/>
        <v>0</v>
      </c>
      <c r="AV32" s="634" t="s">
        <v>255</v>
      </c>
      <c r="AW32" s="630">
        <f t="shared" si="61"/>
        <v>0</v>
      </c>
      <c r="AX32" s="630">
        <f t="shared" si="61"/>
        <v>0</v>
      </c>
      <c r="AY32" s="630">
        <f t="shared" si="61"/>
        <v>0</v>
      </c>
      <c r="AZ32" s="630">
        <f t="shared" si="61"/>
        <v>0</v>
      </c>
      <c r="BA32" s="630">
        <f t="shared" si="61"/>
        <v>0</v>
      </c>
      <c r="BB32" s="630">
        <f t="shared" si="61"/>
        <v>0</v>
      </c>
      <c r="BC32" s="630">
        <f t="shared" si="61"/>
        <v>0</v>
      </c>
      <c r="BD32" s="630">
        <f t="shared" si="61"/>
        <v>0</v>
      </c>
      <c r="BE32" s="641">
        <f t="shared" si="61"/>
        <v>0</v>
      </c>
      <c r="BF32" s="637"/>
    </row>
    <row r="33" spans="2:58" ht="20.25" customHeight="1" x14ac:dyDescent="0.2">
      <c r="B33" s="627"/>
      <c r="C33" s="627"/>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42"/>
      <c r="AJ33" s="620"/>
      <c r="AK33" s="620"/>
      <c r="AL33" s="629" t="s">
        <v>248</v>
      </c>
      <c r="AM33" s="639">
        <f t="shared" ref="AM33" si="66">IF(AM$26=0,0,AM48/AM$26)</f>
        <v>0</v>
      </c>
      <c r="AN33" s="639">
        <f t="shared" ref="AN33:AU33" si="67">IF(AN$26=0,0,AN48/AN$26)</f>
        <v>0</v>
      </c>
      <c r="AO33" s="639">
        <f t="shared" si="67"/>
        <v>0</v>
      </c>
      <c r="AP33" s="639">
        <f t="shared" si="67"/>
        <v>0</v>
      </c>
      <c r="AQ33" s="639">
        <f t="shared" si="67"/>
        <v>0</v>
      </c>
      <c r="AR33" s="639">
        <f t="shared" si="67"/>
        <v>0</v>
      </c>
      <c r="AS33" s="639">
        <f t="shared" si="67"/>
        <v>0</v>
      </c>
      <c r="AT33" s="639">
        <f t="shared" si="67"/>
        <v>0</v>
      </c>
      <c r="AU33" s="639">
        <f t="shared" si="67"/>
        <v>0</v>
      </c>
      <c r="AV33" s="634" t="s">
        <v>256</v>
      </c>
      <c r="AW33" s="630">
        <f t="shared" si="61"/>
        <v>0</v>
      </c>
      <c r="AX33" s="630">
        <f t="shared" si="61"/>
        <v>0</v>
      </c>
      <c r="AY33" s="630">
        <f t="shared" si="61"/>
        <v>0</v>
      </c>
      <c r="AZ33" s="630">
        <f t="shared" si="61"/>
        <v>0</v>
      </c>
      <c r="BA33" s="630">
        <f t="shared" si="61"/>
        <v>0</v>
      </c>
      <c r="BB33" s="630">
        <f t="shared" si="61"/>
        <v>0</v>
      </c>
      <c r="BC33" s="630">
        <f t="shared" si="61"/>
        <v>0</v>
      </c>
      <c r="BD33" s="630">
        <f t="shared" si="61"/>
        <v>0</v>
      </c>
      <c r="BE33" s="641">
        <f t="shared" si="61"/>
        <v>0</v>
      </c>
      <c r="BF33" s="637"/>
    </row>
    <row r="34" spans="2:58" ht="20.25" customHeight="1" x14ac:dyDescent="0.2">
      <c r="B34" s="627"/>
      <c r="C34" s="627"/>
      <c r="D34" s="620"/>
      <c r="E34" s="620"/>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42"/>
      <c r="AJ34" s="620"/>
      <c r="AK34" s="620"/>
      <c r="AL34" s="629" t="s">
        <v>466</v>
      </c>
      <c r="AM34" s="635">
        <f>IF(AM$26=0,0,AM49/AM$26)</f>
        <v>0</v>
      </c>
      <c r="AN34" s="635">
        <f t="shared" ref="AN34:AU34" si="68">IF(AN$26=0,0,AN49/AN$26)</f>
        <v>0</v>
      </c>
      <c r="AO34" s="635">
        <f t="shared" si="68"/>
        <v>0</v>
      </c>
      <c r="AP34" s="635">
        <f t="shared" si="68"/>
        <v>0</v>
      </c>
      <c r="AQ34" s="635">
        <f t="shared" si="68"/>
        <v>0</v>
      </c>
      <c r="AR34" s="635">
        <f t="shared" si="68"/>
        <v>0</v>
      </c>
      <c r="AS34" s="635">
        <f t="shared" si="68"/>
        <v>0</v>
      </c>
      <c r="AT34" s="635">
        <f t="shared" si="68"/>
        <v>0</v>
      </c>
      <c r="AU34" s="635">
        <f t="shared" si="68"/>
        <v>0</v>
      </c>
      <c r="AV34" s="634" t="s">
        <v>257</v>
      </c>
      <c r="AW34" s="630">
        <f t="shared" ref="AW34" si="69">IF(AM$26=0,0,AM65/AM$26)</f>
        <v>0</v>
      </c>
      <c r="AX34" s="630">
        <f t="shared" ref="AX34:BE35" si="70">IF(AN$26=0,0,AN65/AN$26)</f>
        <v>0</v>
      </c>
      <c r="AY34" s="630">
        <f t="shared" si="70"/>
        <v>0</v>
      </c>
      <c r="AZ34" s="630">
        <f t="shared" si="70"/>
        <v>0</v>
      </c>
      <c r="BA34" s="630">
        <f t="shared" si="70"/>
        <v>0</v>
      </c>
      <c r="BB34" s="630">
        <f t="shared" si="70"/>
        <v>0</v>
      </c>
      <c r="BC34" s="630">
        <f t="shared" si="70"/>
        <v>0</v>
      </c>
      <c r="BD34" s="630">
        <f t="shared" si="70"/>
        <v>0</v>
      </c>
      <c r="BE34" s="641">
        <f t="shared" si="70"/>
        <v>0</v>
      </c>
      <c r="BF34" s="637"/>
    </row>
    <row r="35" spans="2:58" ht="20.25" customHeight="1" thickBot="1" x14ac:dyDescent="0.25">
      <c r="B35" s="627"/>
      <c r="C35" s="627"/>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c r="AI35" s="642"/>
      <c r="AJ35" s="620"/>
      <c r="AK35" s="620"/>
      <c r="AL35" s="629" t="s">
        <v>249</v>
      </c>
      <c r="AM35" s="635">
        <f t="shared" ref="AM35:AP36" si="71">IF(AM$26=0,0,AM51/AM$26)</f>
        <v>0</v>
      </c>
      <c r="AN35" s="635">
        <f t="shared" si="71"/>
        <v>0</v>
      </c>
      <c r="AO35" s="635">
        <f t="shared" si="71"/>
        <v>0</v>
      </c>
      <c r="AP35" s="635">
        <f t="shared" si="71"/>
        <v>0</v>
      </c>
      <c r="AQ35" s="635">
        <f t="shared" ref="AQ35:AU35" si="72">IF(AQ$26=0,0,AQ52/AQ$26)</f>
        <v>0</v>
      </c>
      <c r="AR35" s="635">
        <f t="shared" si="72"/>
        <v>0</v>
      </c>
      <c r="AS35" s="635">
        <f t="shared" si="72"/>
        <v>0</v>
      </c>
      <c r="AT35" s="635">
        <f t="shared" si="72"/>
        <v>0</v>
      </c>
      <c r="AU35" s="635">
        <f t="shared" si="72"/>
        <v>0</v>
      </c>
      <c r="AV35" s="1415" t="s">
        <v>405</v>
      </c>
      <c r="AW35" s="1416">
        <f>IF(AM$26=0,0,AM66/AM$26)</f>
        <v>0</v>
      </c>
      <c r="AX35" s="1416">
        <f t="shared" si="70"/>
        <v>0</v>
      </c>
      <c r="AY35" s="1416">
        <f t="shared" si="70"/>
        <v>0</v>
      </c>
      <c r="AZ35" s="1416">
        <f t="shared" si="70"/>
        <v>0</v>
      </c>
      <c r="BA35" s="1416">
        <f t="shared" si="70"/>
        <v>0</v>
      </c>
      <c r="BB35" s="1416">
        <f t="shared" si="70"/>
        <v>0</v>
      </c>
      <c r="BC35" s="1416">
        <f t="shared" si="70"/>
        <v>0</v>
      </c>
      <c r="BD35" s="1416">
        <f t="shared" si="70"/>
        <v>0</v>
      </c>
      <c r="BE35" s="1417">
        <f t="shared" si="70"/>
        <v>0</v>
      </c>
      <c r="BF35" s="637"/>
    </row>
    <row r="36" spans="2:58" ht="20.25" customHeight="1" x14ac:dyDescent="0.2">
      <c r="B36" s="627"/>
      <c r="C36" s="627"/>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42"/>
      <c r="AJ36" s="620"/>
      <c r="AK36" s="620"/>
      <c r="AL36" s="629" t="s">
        <v>250</v>
      </c>
      <c r="AM36" s="635">
        <f t="shared" si="71"/>
        <v>0</v>
      </c>
      <c r="AN36" s="635">
        <f t="shared" si="71"/>
        <v>0</v>
      </c>
      <c r="AO36" s="635">
        <f t="shared" si="71"/>
        <v>0</v>
      </c>
      <c r="AP36" s="635">
        <f t="shared" si="71"/>
        <v>0</v>
      </c>
      <c r="AQ36" s="1412"/>
      <c r="AR36" s="1412"/>
      <c r="AS36" s="1412"/>
      <c r="AT36" s="1412"/>
      <c r="AU36" s="1412"/>
      <c r="AV36" s="1418" t="s">
        <v>463</v>
      </c>
      <c r="AW36" s="1419">
        <f t="shared" ref="AW36:BE36" si="73">IF(AM$26=0,0,AM67)</f>
        <v>0</v>
      </c>
      <c r="AX36" s="1419">
        <f t="shared" si="73"/>
        <v>0</v>
      </c>
      <c r="AY36" s="1419">
        <f t="shared" si="73"/>
        <v>0</v>
      </c>
      <c r="AZ36" s="1419">
        <f t="shared" si="73"/>
        <v>0</v>
      </c>
      <c r="BA36" s="1419">
        <f t="shared" si="73"/>
        <v>0</v>
      </c>
      <c r="BB36" s="1419">
        <f t="shared" si="73"/>
        <v>0</v>
      </c>
      <c r="BC36" s="1419">
        <f t="shared" si="73"/>
        <v>0</v>
      </c>
      <c r="BD36" s="1419">
        <f t="shared" si="73"/>
        <v>0</v>
      </c>
      <c r="BE36" s="1420">
        <f t="shared" si="73"/>
        <v>0</v>
      </c>
      <c r="BF36" s="637"/>
    </row>
    <row r="37" spans="2:58" ht="20.25" customHeight="1" thickBot="1" x14ac:dyDescent="0.25">
      <c r="B37" s="627"/>
      <c r="C37" s="627"/>
      <c r="D37" s="620"/>
      <c r="E37" s="620"/>
      <c r="F37" s="620"/>
      <c r="G37" s="620"/>
      <c r="H37" s="620"/>
      <c r="I37" s="620"/>
      <c r="J37" s="620"/>
      <c r="K37" s="620"/>
      <c r="L37" s="620"/>
      <c r="M37" s="620"/>
      <c r="N37" s="620"/>
      <c r="O37" s="620"/>
      <c r="P37" s="620"/>
      <c r="Q37" s="620"/>
      <c r="R37" s="620"/>
      <c r="S37" s="620"/>
      <c r="T37" s="620"/>
      <c r="U37" s="620"/>
      <c r="V37" s="620"/>
      <c r="W37" s="620"/>
      <c r="X37" s="620"/>
      <c r="Y37" s="620"/>
      <c r="Z37" s="620"/>
      <c r="AA37" s="620"/>
      <c r="AB37" s="620"/>
      <c r="AC37" s="620"/>
      <c r="AD37" s="620"/>
      <c r="AE37" s="620"/>
      <c r="AF37" s="620"/>
      <c r="AG37" s="620"/>
      <c r="AH37" s="620"/>
      <c r="AI37" s="642"/>
      <c r="AJ37" s="620"/>
      <c r="AK37" s="620"/>
      <c r="AL37" s="629" t="s">
        <v>252</v>
      </c>
      <c r="AM37" s="1412"/>
      <c r="AN37" s="1412"/>
      <c r="AO37" s="1412"/>
      <c r="AP37" s="1412"/>
      <c r="AQ37" s="1412"/>
      <c r="AR37" s="1412"/>
      <c r="AS37" s="1412"/>
      <c r="AT37" s="1412"/>
      <c r="AU37" s="1412"/>
      <c r="AV37" s="643" t="s">
        <v>465</v>
      </c>
      <c r="AW37" s="644" t="str">
        <f t="shared" ref="AW37:AX37" si="74">IF(AM28="-","-",AW36/AM28*100)</f>
        <v>-</v>
      </c>
      <c r="AX37" s="644" t="str">
        <f t="shared" si="74"/>
        <v>-</v>
      </c>
      <c r="AY37" s="644" t="str">
        <f>IF(AO28="-","-",AY36/AO28*100)</f>
        <v>-</v>
      </c>
      <c r="AZ37" s="644" t="str">
        <f t="shared" ref="AZ37:BE37" si="75">IF(AP28="-","-",AZ36/AP28*100)</f>
        <v>-</v>
      </c>
      <c r="BA37" s="644" t="str">
        <f t="shared" si="75"/>
        <v>-</v>
      </c>
      <c r="BB37" s="644" t="str">
        <f t="shared" si="75"/>
        <v>-</v>
      </c>
      <c r="BC37" s="644" t="str">
        <f t="shared" si="75"/>
        <v>-</v>
      </c>
      <c r="BD37" s="644" t="str">
        <f t="shared" si="75"/>
        <v>-</v>
      </c>
      <c r="BE37" s="644" t="str">
        <f t="shared" si="75"/>
        <v>-</v>
      </c>
      <c r="BF37" s="637"/>
    </row>
    <row r="38" spans="2:58" ht="20.25" customHeight="1" x14ac:dyDescent="0.2">
      <c r="B38" s="627"/>
      <c r="C38" s="627"/>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42"/>
      <c r="AJ38" s="620"/>
      <c r="AK38" s="620"/>
      <c r="AL38" s="629" t="s">
        <v>252</v>
      </c>
      <c r="AM38" s="639"/>
      <c r="AN38" s="639"/>
      <c r="AO38" s="639"/>
      <c r="AP38" s="639"/>
      <c r="AQ38" s="639"/>
      <c r="AR38" s="639"/>
      <c r="AS38" s="639"/>
      <c r="AT38" s="639"/>
      <c r="AU38" s="639"/>
      <c r="AV38" s="1344" t="s">
        <v>264</v>
      </c>
      <c r="AW38" s="1510"/>
      <c r="AX38" s="1510"/>
      <c r="AY38" s="1510"/>
      <c r="AZ38" s="1510"/>
      <c r="BA38" s="1510"/>
      <c r="BB38" s="1510"/>
      <c r="BC38" s="1510"/>
      <c r="BD38" s="1510"/>
      <c r="BE38" s="1511"/>
      <c r="BF38" s="637"/>
    </row>
    <row r="39" spans="2:58" ht="20.25" customHeight="1" thickBot="1" x14ac:dyDescent="0.25">
      <c r="B39" s="627"/>
      <c r="C39" s="627"/>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42"/>
      <c r="AJ39" s="620"/>
      <c r="AK39" s="620"/>
      <c r="AL39" s="654" t="s">
        <v>252</v>
      </c>
      <c r="AM39" s="655"/>
      <c r="AN39" s="655"/>
      <c r="AO39" s="655"/>
      <c r="AP39" s="655"/>
      <c r="AQ39" s="655"/>
      <c r="AR39" s="655"/>
      <c r="AS39" s="655"/>
      <c r="AT39" s="655"/>
      <c r="AU39" s="655"/>
      <c r="AV39" s="1345"/>
      <c r="AW39" s="1512"/>
      <c r="AX39" s="1512"/>
      <c r="AY39" s="1512"/>
      <c r="AZ39" s="1512"/>
      <c r="BA39" s="1512"/>
      <c r="BB39" s="1512"/>
      <c r="BC39" s="1512"/>
      <c r="BD39" s="1512"/>
      <c r="BE39" s="1513"/>
      <c r="BF39" s="637"/>
    </row>
    <row r="40" spans="2:58" ht="15" customHeight="1" thickBot="1" x14ac:dyDescent="0.25">
      <c r="B40" s="627"/>
      <c r="C40" s="627"/>
      <c r="D40" s="6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42"/>
      <c r="AJ40" s="620"/>
      <c r="AK40" s="620"/>
      <c r="AL40" s="656" t="str">
        <f>Eigenmischungen!A51</f>
        <v>Uni Rat 2016, © W. Sekul, LAZBW Aulendorf             Die Daten sind auf Plausibilität zu prüfen, um Eingabe- und Berechnungsfehler auszuschließen. Es wird keine Gewähr zur Richtigkeit der Daten übernommen.</v>
      </c>
      <c r="AM40" s="657"/>
      <c r="AN40" s="657"/>
      <c r="AO40" s="657"/>
      <c r="AP40" s="657"/>
      <c r="AQ40" s="657"/>
      <c r="AR40" s="657"/>
      <c r="AS40" s="657"/>
      <c r="AT40" s="657"/>
      <c r="AU40" s="657"/>
      <c r="AV40" s="658"/>
      <c r="AW40" s="658"/>
      <c r="AX40" s="658"/>
      <c r="AY40" s="658"/>
      <c r="AZ40" s="658"/>
      <c r="BA40" s="658"/>
      <c r="BB40" s="658"/>
      <c r="BC40" s="658" t="s">
        <v>285</v>
      </c>
      <c r="BD40" s="663" t="s">
        <v>406</v>
      </c>
      <c r="BE40" s="663"/>
      <c r="BF40" s="659"/>
    </row>
    <row r="41" spans="2:58" ht="21.75" customHeight="1" thickTop="1" x14ac:dyDescent="0.2">
      <c r="B41" s="627"/>
      <c r="C41" s="627"/>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42"/>
      <c r="AJ41" s="620"/>
      <c r="AK41" s="620"/>
      <c r="AL41" s="646" t="str">
        <f>D2&amp;", %"</f>
        <v>TS, %</v>
      </c>
      <c r="AM41" s="647">
        <f t="shared" ref="AM41:AU41" si="76">IF(AM26=0,0,AM26/AM25)</f>
        <v>0</v>
      </c>
      <c r="AN41" s="647">
        <f t="shared" si="76"/>
        <v>0</v>
      </c>
      <c r="AO41" s="647">
        <f t="shared" si="76"/>
        <v>0</v>
      </c>
      <c r="AP41" s="647">
        <f t="shared" si="76"/>
        <v>0</v>
      </c>
      <c r="AQ41" s="647">
        <f t="shared" si="76"/>
        <v>0</v>
      </c>
      <c r="AR41" s="647">
        <f t="shared" si="76"/>
        <v>0</v>
      </c>
      <c r="AS41" s="647">
        <f t="shared" si="76"/>
        <v>0</v>
      </c>
      <c r="AT41" s="647">
        <f t="shared" si="76"/>
        <v>0</v>
      </c>
      <c r="AU41" s="647">
        <f t="shared" si="76"/>
        <v>0</v>
      </c>
      <c r="AV41" s="645"/>
      <c r="AW41" s="645"/>
      <c r="AX41" s="645"/>
      <c r="AY41" s="645"/>
      <c r="AZ41" s="645"/>
      <c r="BA41" s="645"/>
      <c r="BB41" s="645"/>
      <c r="BC41" s="645"/>
      <c r="BD41" s="645"/>
      <c r="BE41" s="645"/>
      <c r="BF41" s="645"/>
    </row>
    <row r="42" spans="2:58" ht="21.75" customHeight="1" x14ac:dyDescent="0.2">
      <c r="B42" s="627"/>
      <c r="C42" s="627"/>
      <c r="D42" s="620"/>
      <c r="E42" s="620"/>
      <c r="F42" s="620"/>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c r="AH42" s="620"/>
      <c r="AI42" s="642"/>
      <c r="AJ42" s="620"/>
      <c r="AK42" s="620"/>
      <c r="AL42" s="646" t="str">
        <f>E2&amp;", MJ"</f>
        <v>NEL, MJ</v>
      </c>
      <c r="AM42" s="648">
        <f>(AM$4*$E$4*$D$4+AM$5*$E$5*$D$5+AM$6*$E$6*$D$6+AM$7*$E$7*$D$7+AM$8*$E$8*$D$8+AM$9*$E$9*$D$9+AM$10*$E$10*$D$10+AM$11*$E$11*$D$11+AM$12*$E$12*$D$12+AM$13*$E$13*$D$13+AM$14*$E$14*$D$14+AM$15*$E$15*$D$15+AM$16*$E$16*$D$16+AM$17*$E$17*$D$17+AM$18*$E$18*$D$18+AM$19*$E$19*$D$19+AM$20*$E$20*$D$20+AM$21*$E$21*$D$21+AM$22*$E$22*$D$22+AM$23*$E$23*$D$23+AM$24*$E$24*$D$24)/100</f>
        <v>0</v>
      </c>
      <c r="AN42" s="648">
        <f>(AN$4*$E$4*$D$4+AN$5*$E$5*$D$5+AN$6*$E$6*$D$6+AN$7*$E$7*$D$7+AN$8*$E$8*$D$8+AN$9*$E$9*$D$9+AN$10*$E$10*$D$10+AN$11*$E$11*$D$11+AN$12*$E$12*$D$12+AN$13*$E$13*$D$13+AN$14*$E$14*$D$14+AN$15*$E$15*$D$15+AN$16*$E$16*$D$16+AN$17*$E$17*$D$17+AN$18*$E$18*$D$18+AN$19*$E$19*$D$19+AN$20*$E$20*$D$20+AN$21*$E$21*$D$21+AN$22*$E$22*$D$22+AN$23*$E$23*$D$23+AN$24*$E$24*$D$24)/100</f>
        <v>0</v>
      </c>
      <c r="AO42" s="648">
        <f t="shared" ref="AO42:AU42" si="77">(AO$4*$E$4*$D$4+AO$5*$E$5*$D$5+AO$6*$E$6*$D$6+AO$7*$E$7*$D$7+AO$8*$E$8*$D$8+AO$9*$E$9*$D$9+AO$10*$E$10*$D$10+AO$11*$E$11*$D$11+AO$12*$E$12*$D$12+AO$13*$E$13*$D$13+AO$14*$E$14*$D$14+AO$15*$E$15*$D$15+AO$16*$E$16*$D$16+AO$17*$E$17*$D$17+AO$18*$E$18*$D$18+AO$19*$E$19*$D$19+AO$20*$E$20*$D$20+AO$21*$E$21*$D$21+AO$22*$E$22*$D$22+AO$23*$E$23*$D$23+AO$24*$E$24*$D$24)/100</f>
        <v>0</v>
      </c>
      <c r="AP42" s="648">
        <f t="shared" si="77"/>
        <v>0</v>
      </c>
      <c r="AQ42" s="648">
        <f t="shared" si="77"/>
        <v>0</v>
      </c>
      <c r="AR42" s="648">
        <f t="shared" si="77"/>
        <v>0</v>
      </c>
      <c r="AS42" s="648">
        <f t="shared" si="77"/>
        <v>0</v>
      </c>
      <c r="AT42" s="648">
        <f t="shared" si="77"/>
        <v>0</v>
      </c>
      <c r="AU42" s="648">
        <f t="shared" si="77"/>
        <v>0</v>
      </c>
      <c r="AV42" s="645"/>
      <c r="AW42" s="645"/>
      <c r="AX42" s="645"/>
      <c r="AY42" s="645"/>
      <c r="AZ42" s="645"/>
      <c r="BA42" s="645"/>
      <c r="BB42" s="645"/>
      <c r="BC42" s="645"/>
      <c r="BD42" s="645"/>
      <c r="BE42" s="645"/>
      <c r="BF42" s="645"/>
    </row>
    <row r="43" spans="2:58" ht="21.75" customHeight="1" x14ac:dyDescent="0.2">
      <c r="B43" s="627"/>
      <c r="C43" s="627"/>
      <c r="D43" s="620"/>
      <c r="E43" s="620"/>
      <c r="F43" s="620"/>
      <c r="G43" s="620"/>
      <c r="H43" s="620"/>
      <c r="I43" s="620"/>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42"/>
      <c r="AJ43" s="620"/>
      <c r="AK43" s="620"/>
      <c r="AL43" s="646" t="str">
        <f>F2&amp;", MJ"</f>
        <v>ME, MJ</v>
      </c>
      <c r="AM43" s="648">
        <f>(AM$4*$F$4*$D$4+AM$5*$F$5*$D$5+AM$6*$F$6*$D$6+AM$7*$F$7*$D$7+AM$8*$F$8*$D$8+AM$9*$F$9*$D$9+AM$10*$F$10*$D$10+AM$11*$F$11*$D$11+AM$12*$F$12*$D$12+AM$13*$F$13*$D$13+AM$14*$F$14*$D$14+AM$15*$F$15*$D$15+AM$16*$F$16*$D$16+AM$17*$F$17*$D$17+AM$18*$F$18*$D$18+AM$19*$F$19*$D$19+AM$20*$F$20*$D$20+AM$21*$F$21*$D$21+AM$22*$F$22*$D$22+AM$23*$F$23*$D$23+AM$24*$F$24*$D$24)/100</f>
        <v>0</v>
      </c>
      <c r="AN43" s="648">
        <f>(AN$4*$F$4*$D$4+AN$5*$F$5*$D$5+AN$6*$F$6*$D$6+AN$7*$F$7*$D$7+AN$8*$F$8*$D$8+AN$9*$F$9*$D$9+AN$10*$F$10*$D$10+AN$11*$F$11*$D$11+AN$12*$F$12*$D$12+AN$13*$F$13*$D$13+AN$14*$F$14*$D$14+AN$15*$F$15*$D$15+AN$16*$F$16*$D$16+AN$17*$F$17*$D$17+AN$18*$F$18*$D$18+AN$19*$F$19*$D$19+AN$20*$F$20*$D$20+AN$21*$F$21*$D$21+AN$22*$F$22*$D$22+AN$23*$F$23*$D$23+AN$24*$F$24*$D$24)/100</f>
        <v>0</v>
      </c>
      <c r="AO43" s="648">
        <f t="shared" ref="AO43:AU43" si="78">(AO$4*$F$4*$D$4+AO$5*$F$5*$D$5+AO$6*$F$6*$D$6+AO$7*$F$7*$D$7+AO$8*$F$8*$D$8+AO$9*$F$9*$D$9+AO$10*$F$10*$D$10+AO$11*$F$11*$D$11+AO$12*$F$12*$D$12+AO$13*$F$13*$D$13+AO$14*$F$14*$D$14+AO$15*$F$15*$D$15+AO$16*$F$16*$D$16+AO$17*$F$17*$D$17+AO$18*$F$18*$D$18+AO$19*$F$19*$D$19+AO$20*$F$20*$D$20+AO$21*$F$21*$D$21+AO$22*$F$22*$D$22+AO$23*$F$23*$D$23+AO$24*$F$24*$D$24)/100</f>
        <v>0</v>
      </c>
      <c r="AP43" s="648">
        <f t="shared" si="78"/>
        <v>0</v>
      </c>
      <c r="AQ43" s="648">
        <f t="shared" si="78"/>
        <v>0</v>
      </c>
      <c r="AR43" s="648">
        <f t="shared" si="78"/>
        <v>0</v>
      </c>
      <c r="AS43" s="648">
        <f t="shared" si="78"/>
        <v>0</v>
      </c>
      <c r="AT43" s="648">
        <f t="shared" si="78"/>
        <v>0</v>
      </c>
      <c r="AU43" s="648">
        <f t="shared" si="78"/>
        <v>0</v>
      </c>
      <c r="AV43" s="645"/>
      <c r="AW43" s="645"/>
      <c r="AX43" s="645"/>
      <c r="AY43" s="645"/>
      <c r="AZ43" s="645"/>
      <c r="BA43" s="645"/>
      <c r="BB43" s="645"/>
      <c r="BC43" s="645"/>
      <c r="BD43" s="645"/>
      <c r="BE43" s="645"/>
      <c r="BF43" s="645"/>
    </row>
    <row r="44" spans="2:58" ht="21.75" customHeight="1" x14ac:dyDescent="0.2">
      <c r="B44" s="627"/>
      <c r="C44" s="627"/>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42"/>
      <c r="AJ44" s="620"/>
      <c r="AK44" s="620"/>
      <c r="AL44" s="646" t="str">
        <f>G2&amp;", g"</f>
        <v>XP, g</v>
      </c>
      <c r="AM44" s="649">
        <f>(AM$4*$G$4*$D$4+AM$5*$G$5*$D$5+AM$6*$G$6*$D$6+AM$7*$G$7*$D$7+AM$8*$G$8*$D$8+AM$9*$G$9*$D$9+AM$10*$G$10*$D$10+AM$11*$G$11*$D$11+AM$12*$G$12*$D$12+AM$13*$G$13*$D$13+AM$14*$G$14*$D$14+AM$15*$G$15*$D$15+AM$16*$G$16*$D$16+AM$17*$G$17*$D$17+AM$18*$G$18*$D$18+AM$19*$G$19*$D$19+AM$20*$G$20*$D$20+AM$21*$G$21*$D$21+AM$22*$G$22*$D$22+AM$23*$G$23*$D$23+AM$24*$G$24*$D$24)/100</f>
        <v>0</v>
      </c>
      <c r="AN44" s="649">
        <f>(AN$4*$G$4*$D$4+AN$5*$G$5*$D$5+AN$6*$G$6*$D$6+AN$7*$G$7*$D$7+AN$8*$G$8*$D$8+AN$9*$G$9*$D$9+AN$10*$G$10*$D$10+AN$11*$G$11*$D$11+AN$12*$G$12*$D$12+AN$13*$G$13*$D$13+AN$14*$G$14*$D$14+AN$15*$G$15*$D$15+AN$16*$G$16*$D$16+AN$17*$G$17*$D$17+AN$18*$G$18*$D$18+AN$19*$G$19*$D$19+AN$20*$G$20*$D$20+AN$21*$G$21*$D$21+AN$22*$G$22*$D$22+AN$23*$G$23*$D$23+AN$24*$G$24*$D$24)/100</f>
        <v>0</v>
      </c>
      <c r="AO44" s="649">
        <f t="shared" ref="AO44:AU44" si="79">(AO$4*$G$4*$D$4+AO$5*$G$5*$D$5+AO$6*$G$6*$D$6+AO$7*$G$7*$D$7+AO$8*$G$8*$D$8+AO$9*$G$9*$D$9+AO$10*$G$10*$D$10+AO$11*$G$11*$D$11+AO$12*$G$12*$D$12+AO$13*$G$13*$D$13+AO$14*$G$14*$D$14+AO$15*$G$15*$D$15+AO$16*$G$16*$D$16+AO$17*$G$17*$D$17+AO$18*$G$18*$D$18+AO$19*$G$19*$D$19+AO$20*$G$20*$D$20+AO$21*$G$21*$D$21+AO$22*$G$22*$D$22+AO$23*$G$23*$D$23+AO$24*$G$24*$D$24)/100</f>
        <v>0</v>
      </c>
      <c r="AP44" s="649">
        <f t="shared" si="79"/>
        <v>0</v>
      </c>
      <c r="AQ44" s="649">
        <f t="shared" si="79"/>
        <v>0</v>
      </c>
      <c r="AR44" s="649">
        <f t="shared" si="79"/>
        <v>0</v>
      </c>
      <c r="AS44" s="649">
        <f t="shared" si="79"/>
        <v>0</v>
      </c>
      <c r="AT44" s="649">
        <f t="shared" si="79"/>
        <v>0</v>
      </c>
      <c r="AU44" s="649">
        <f t="shared" si="79"/>
        <v>0</v>
      </c>
      <c r="AV44" s="645"/>
      <c r="AW44" s="645"/>
      <c r="AX44" s="645"/>
      <c r="AY44" s="645"/>
      <c r="AZ44" s="645"/>
      <c r="BA44" s="645"/>
      <c r="BB44" s="645"/>
      <c r="BC44" s="645"/>
      <c r="BD44" s="645"/>
      <c r="BE44" s="645"/>
      <c r="BF44" s="645"/>
    </row>
    <row r="45" spans="2:58" ht="21.75" customHeight="1" x14ac:dyDescent="0.2">
      <c r="B45" s="627"/>
      <c r="C45" s="627"/>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42"/>
      <c r="AJ45" s="620"/>
      <c r="AK45" s="620"/>
      <c r="AL45" s="646" t="str">
        <f>G2&amp;"g/kg TM"</f>
        <v>XPg/kg TM</v>
      </c>
      <c r="AM45" s="649">
        <f>IF(AM26=0,0,AM44/AM26)</f>
        <v>0</v>
      </c>
      <c r="AN45" s="649">
        <f t="shared" ref="AN45:AU45" si="80">IF(AN26=0,0,AN44/AN26)</f>
        <v>0</v>
      </c>
      <c r="AO45" s="649">
        <f t="shared" si="80"/>
        <v>0</v>
      </c>
      <c r="AP45" s="649">
        <f t="shared" si="80"/>
        <v>0</v>
      </c>
      <c r="AQ45" s="649">
        <f t="shared" si="80"/>
        <v>0</v>
      </c>
      <c r="AR45" s="649">
        <f t="shared" si="80"/>
        <v>0</v>
      </c>
      <c r="AS45" s="649">
        <f t="shared" si="80"/>
        <v>0</v>
      </c>
      <c r="AT45" s="649">
        <f t="shared" si="80"/>
        <v>0</v>
      </c>
      <c r="AU45" s="649">
        <f t="shared" si="80"/>
        <v>0</v>
      </c>
      <c r="AV45" s="645"/>
      <c r="AW45" s="645"/>
      <c r="AX45" s="645"/>
      <c r="AY45" s="645"/>
      <c r="AZ45" s="645"/>
      <c r="BA45" s="645"/>
      <c r="BB45" s="645"/>
      <c r="BC45" s="645"/>
      <c r="BD45" s="645"/>
      <c r="BE45" s="645"/>
      <c r="BF45" s="645"/>
    </row>
    <row r="46" spans="2:58" ht="21.75" customHeight="1" x14ac:dyDescent="0.2">
      <c r="B46" s="627"/>
      <c r="C46" s="627"/>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42"/>
      <c r="AJ46" s="620"/>
      <c r="AK46" s="620"/>
      <c r="AL46" s="646" t="str">
        <f>H2</f>
        <v>UDP</v>
      </c>
      <c r="AM46" s="650">
        <f>IF(AM26=0,0,(AM$4*$H$4*$D$4+AM$5*$H$5*$D$5+AM$6*$H$6*$D$6+AM$7*$H$7*$D$7+AM$8*$H$8*$D$8+AM$9*$H$9*$D$9+AM$10*$H$10*$D$10+AM$11*$H$11*$D$11+AM$12*$H$12*$D$12+AM$13*$H$13*$D$13+AM$14*$H$14*$D$14+AM$15*$H$15*$D$15+AM$16*$H$16*$D$16+AM$17*$H$17*$D$17+AM$18*$H$18*$D$18+AM$19*$H$19*$D$19+AM$20*$H$20*$D$20+AM$21*$H$21*$D$21+AM$22*$H$22*$D$22+AM$23*$H$23*$D$23+AM$24*$H$24*$D$24)/100/AM26)</f>
        <v>0</v>
      </c>
      <c r="AN46" s="650">
        <f t="shared" ref="AN46:AU46" si="81">IF(AN26=0,0,(AN$4*$H$4*$D$4+AN$5*$H$5*$D$5+AN$6*$H$6*$D$6+AN$7*$H$7*$D$7+AN$8*$H$8*$D$8+AN$9*$H$9*$D$9+AN$10*$H$10*$D$10+AN$11*$H$11*$D$11+AN$12*$H$12*$D$12+AN$13*$H$13*$D$13+AN$14*$H$14*$D$14+AN$15*$H$15*$D$15+AN$16*$H$16*$D$16+AN$17*$H$17*$D$17+AN$18*$H$18*$D$18+AN$19*$H$19*$D$19+AN$20*$H$20*$D$20+AN$21*$H$21*$D$21+AN$22*$H$22*$D$22+AN$23*$H$23*$D$23+AN$24*$H$24*$D$24)/100/AN26)</f>
        <v>0</v>
      </c>
      <c r="AO46" s="650">
        <f t="shared" si="81"/>
        <v>0</v>
      </c>
      <c r="AP46" s="650">
        <f t="shared" si="81"/>
        <v>0</v>
      </c>
      <c r="AQ46" s="650">
        <f t="shared" si="81"/>
        <v>0</v>
      </c>
      <c r="AR46" s="650">
        <f t="shared" si="81"/>
        <v>0</v>
      </c>
      <c r="AS46" s="650">
        <f t="shared" si="81"/>
        <v>0</v>
      </c>
      <c r="AT46" s="650">
        <f t="shared" si="81"/>
        <v>0</v>
      </c>
      <c r="AU46" s="650">
        <f t="shared" si="81"/>
        <v>0</v>
      </c>
      <c r="AV46" s="645"/>
      <c r="AW46" s="645"/>
      <c r="AX46" s="645"/>
      <c r="AY46" s="645"/>
      <c r="AZ46" s="645"/>
      <c r="BA46" s="645"/>
      <c r="BB46" s="645"/>
      <c r="BC46" s="645"/>
      <c r="BD46" s="645"/>
      <c r="BE46" s="645"/>
      <c r="BF46" s="645"/>
    </row>
    <row r="47" spans="2:58" ht="21.75" customHeight="1" x14ac:dyDescent="0.2">
      <c r="B47" s="627"/>
      <c r="C47" s="627"/>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42"/>
      <c r="AJ47" s="620"/>
      <c r="AK47" s="620"/>
      <c r="AL47" s="646" t="str">
        <f>I2&amp;", g"</f>
        <v>nXP, g</v>
      </c>
      <c r="AM47" s="649">
        <f>(AM$4*$I$4*$D$4+AM$5*$I$5*$D$5+AM$6*$I$6*$D$6+AM$7*$I$7*$D$7+AM$8*$I$8*$D$8+AM$9*$I$9*$D$9+AM$10*$I$10*$D$10+AM$11*$I$11*$D$11+AM$12*$I$12*$D$12+AM$13*$I$13*$D$13+AM$14*$I$14*$D$14+AM$15*$I$15*$D$15+AM$16*$I$16*$D$16+AM$17*$I$17*$D$17+AM$18*$I$18*$D$18+AM$19*$I$19*$D$19+AM$20*$I$20*$D$20+AM$21*$I$21*$D$21+AM$22*$I$22*$D$22+AM$23*$I$23*$D$23+AM$24*$I$24*$D$24)/100</f>
        <v>0</v>
      </c>
      <c r="AN47" s="649">
        <f>(AN$4*$I$4*$D$4+AN$5*$I$5*$D$5+AN$6*$I$6*$D$6+AN$7*$I$7*$D$7+AN$8*$I$8*$D$8+AN$9*$I$9*$D$9+AN$10*$I$10*$D$10+AN$11*$I$11*$D$11+AN$12*$I$12*$D$12+AN$13*$I$13*$D$13+AN$14*$I$14*$D$14+AN$15*$I$15*$D$15+AN$16*$I$16*$D$16+AN$17*$I$17*$D$17+AN$18*$I$18*$D$18+AN$19*$I$19*$D$19+AN$20*$I$20*$D$20+AN$21*$I$21*$D$21+AN$22*$I$22*$D$22+AN$23*$I$23*$D$23+AN$24*$I$24*$D$24)/100</f>
        <v>0</v>
      </c>
      <c r="AO47" s="649">
        <f t="shared" ref="AO47:AU47" si="82">(AO$4*$I$4*$D$4+AO$5*$I$5*$D$5+AO$6*$I$6*$D$6+AO$7*$I$7*$D$7+AO$8*$I$8*$D$8+AO$9*$I$9*$D$9+AO$10*$I$10*$D$10+AO$11*$I$11*$D$11+AO$12*$I$12*$D$12+AO$13*$I$13*$D$13+AO$14*$I$14*$D$14+AO$15*$I$15*$D$15+AO$16*$I$16*$D$16+AO$17*$I$17*$D$17+AO$18*$I$18*$D$18+AO$19*$I$19*$D$19+AO$20*$I$20*$D$20+AO$21*$I$21*$D$21+AO$22*$I$22*$D$22+AO$23*$I$23*$D$23+AO$24*$I$24*$D$24)/100</f>
        <v>0</v>
      </c>
      <c r="AP47" s="649">
        <f t="shared" si="82"/>
        <v>0</v>
      </c>
      <c r="AQ47" s="649">
        <f t="shared" si="82"/>
        <v>0</v>
      </c>
      <c r="AR47" s="649">
        <f t="shared" si="82"/>
        <v>0</v>
      </c>
      <c r="AS47" s="649">
        <f t="shared" si="82"/>
        <v>0</v>
      </c>
      <c r="AT47" s="649">
        <f t="shared" si="82"/>
        <v>0</v>
      </c>
      <c r="AU47" s="649">
        <f t="shared" si="82"/>
        <v>0</v>
      </c>
      <c r="AV47" s="645"/>
      <c r="AW47" s="645"/>
      <c r="AX47" s="645"/>
      <c r="AY47" s="645"/>
      <c r="AZ47" s="645"/>
      <c r="BA47" s="645"/>
      <c r="BB47" s="645"/>
      <c r="BC47" s="645"/>
      <c r="BD47" s="645"/>
      <c r="BE47" s="645"/>
      <c r="BF47" s="645"/>
    </row>
    <row r="48" spans="2:58" ht="21.75" customHeight="1" x14ac:dyDescent="0.2">
      <c r="B48" s="627"/>
      <c r="C48" s="627"/>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42"/>
      <c r="AJ48" s="620"/>
      <c r="AK48" s="620"/>
      <c r="AL48" s="646" t="str">
        <f>J2</f>
        <v>RNB</v>
      </c>
      <c r="AM48" s="648">
        <f>(AM$4*$J$4*$D$4+AM$5*$J$5*$D$5+AM$6*$J$6*$D$6+AM$7*$J$7*$D$7+AM$8*$J$8*$D$8+AM$9*$J$9*$D$9+AM$10*$J$10*$D$10+AM$11*$J$11*$D$11+AM$12*$J$12*$D$12+AM$13*$J$13*$D$13+AM$14*$J$14*$D$14+AM$15*$J$15*$D$15+AM$16*$J$16*$D$16+AM$17*$J$17*$D$17+AM$18*$J$18*$D$18+AM$19*$J$19*$D$19+AM$20*$J$20*$D$20+AM$21*$J$21*$D$21+AM$22*$J$22*$D$22+AM$23*$J$23*$D$23+AM$24*$J$24*$D$24)/100</f>
        <v>0</v>
      </c>
      <c r="AN48" s="648">
        <f>(AN$4*$J$4*$D$4+AN$5*$J$5*$D$5+AN$6*$J$6*$D$6+AN$7*$J$7*$D$7+AN$8*$J$8*$D$8+AN$9*$J$9*$D$9+AN$10*$J$10*$D$10+AN$11*$J$11*$D$11+AN$12*$J$12*$D$12+AN$13*$J$13*$D$13+AN$14*$J$14*$D$14+AN$15*$J$15*$D$15+AN$16*$J$16*$D$16+AN$17*$J$17*$D$17+AN$18*$J$18*$D$18+AN$19*$J$19*$D$19+AN$20*$J$20*$D$20+AN$21*$J$21*$D$21+AN$22*$J$22*$D$22+AN$23*$J$23*$D$23+AN$24*$J$24*$D$24)/100</f>
        <v>0</v>
      </c>
      <c r="AO48" s="648">
        <f t="shared" ref="AO48:AU48" si="83">(AO$4*$J$4*$D$4+AO$5*$J$5*$D$5+AO$6*$J$6*$D$6+AO$7*$J$7*$D$7+AO$8*$J$8*$D$8+AO$9*$J$9*$D$9+AO$10*$J$10*$D$10+AO$11*$J$11*$D$11+AO$12*$J$12*$D$12+AO$13*$J$13*$D$13+AO$14*$J$14*$D$14+AO$15*$J$15*$D$15+AO$16*$J$16*$D$16+AO$17*$J$17*$D$17+AO$18*$J$18*$D$18+AO$19*$J$19*$D$19+AO$20*$J$20*$D$20+AO$21*$J$21*$D$21+AO$22*$J$22*$D$22+AO$23*$J$23*$D$23+AO$24*$J$24*$D$24)/100</f>
        <v>0</v>
      </c>
      <c r="AP48" s="648">
        <f t="shared" si="83"/>
        <v>0</v>
      </c>
      <c r="AQ48" s="648">
        <f t="shared" si="83"/>
        <v>0</v>
      </c>
      <c r="AR48" s="648">
        <f t="shared" si="83"/>
        <v>0</v>
      </c>
      <c r="AS48" s="648">
        <f t="shared" si="83"/>
        <v>0</v>
      </c>
      <c r="AT48" s="648">
        <f t="shared" si="83"/>
        <v>0</v>
      </c>
      <c r="AU48" s="648">
        <f t="shared" si="83"/>
        <v>0</v>
      </c>
      <c r="AV48" s="645"/>
      <c r="AW48" s="645"/>
      <c r="AX48" s="645"/>
      <c r="AY48" s="645"/>
      <c r="AZ48" s="645"/>
      <c r="BA48" s="645"/>
      <c r="BB48" s="645"/>
      <c r="BC48" s="645"/>
      <c r="BD48" s="645"/>
      <c r="BE48" s="645"/>
      <c r="BF48" s="645"/>
    </row>
    <row r="49" spans="2:58" ht="21.75" customHeight="1" x14ac:dyDescent="0.2">
      <c r="B49" s="627"/>
      <c r="C49" s="627"/>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42"/>
      <c r="AJ49" s="620"/>
      <c r="AK49" s="620"/>
      <c r="AL49" s="646" t="str">
        <f>K2</f>
        <v>UDP</v>
      </c>
      <c r="AM49" s="648">
        <f t="shared" ref="AM49:AU49" si="84">(AM$4*$K$4*$D$4+AM$5*$K$5*$D$5+AM$6*$K$6*$D$6+AM$7*$K$7*$D$7+AM$8*$K$8*$D$8+AM$9*$K$9*$D$9+AM$10*$K$10*$D$10+AM$11*$K$11*$D$11+AM$12*$K$12*$D$12+AM$13*$K$13*$D$13+AM$14*$K$14*$D$14+AM$15*$K$15*$D$15+AM$16*$K$16*$D$16+AM$17*$K$17*$D$17+AM$18*$K$18*$D$18+AM$19*$K$19*$D$19+AM$20*$K$20*$D$20+AM$21*$K$21*$D$21+AM$22*$K$22*$D$22+AM$23*$K$23*$D$23+AM$24*$K$24*$D$24)</f>
        <v>0</v>
      </c>
      <c r="AN49" s="648">
        <f t="shared" si="84"/>
        <v>0</v>
      </c>
      <c r="AO49" s="648">
        <f t="shared" si="84"/>
        <v>0</v>
      </c>
      <c r="AP49" s="648">
        <f t="shared" si="84"/>
        <v>0</v>
      </c>
      <c r="AQ49" s="648">
        <f t="shared" si="84"/>
        <v>0</v>
      </c>
      <c r="AR49" s="648">
        <f t="shared" si="84"/>
        <v>0</v>
      </c>
      <c r="AS49" s="648">
        <f t="shared" si="84"/>
        <v>0</v>
      </c>
      <c r="AT49" s="648">
        <f t="shared" si="84"/>
        <v>0</v>
      </c>
      <c r="AU49" s="648">
        <f t="shared" si="84"/>
        <v>0</v>
      </c>
      <c r="AV49" s="645"/>
      <c r="AW49" s="645"/>
      <c r="AX49" s="645"/>
      <c r="AY49" s="645"/>
      <c r="AZ49" s="645"/>
      <c r="BA49" s="645"/>
      <c r="BB49" s="645"/>
      <c r="BC49" s="645"/>
      <c r="BD49" s="645"/>
      <c r="BE49" s="645"/>
      <c r="BF49" s="645"/>
    </row>
    <row r="50" spans="2:58" ht="21.75" customHeight="1" x14ac:dyDescent="0.2">
      <c r="B50" s="627"/>
      <c r="C50" s="627"/>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42"/>
      <c r="AJ50" s="620"/>
      <c r="AK50" s="620"/>
      <c r="AL50" s="646" t="str">
        <f>L2</f>
        <v>SW</v>
      </c>
      <c r="AM50" s="648">
        <f t="shared" ref="AM50:AU50" si="85">(AM$4*$L$4*$D$4+AM$5*$L$5*$D$5+AM$6*$L$6*$D$6+AM$7*$L$7*$D$7+AM$8*$L$8*$D$8+AM$9*$L$9*$D$9+AM$10*$L$10*$D$10+AM$11*$L$11*$D$11+AM$12*$L$12*$D$12+AM$13*$L$13*$D$13+AM$14*$L$14*$D$14+AM$15*$L$15*$D$15+AM$16*$L$16*$D$16+AM$17*$L$17*$D$17+AM$18*$L$18*$D$18+AM$19*$L$19*$D$19+AM$20*$L$20*$D$20+AM$21*$L$21*$D$21+AM$22*$L$22*$D$22+AM$23*$L$23*$D$23+AM$24*$L$24*$D$24)/100</f>
        <v>0</v>
      </c>
      <c r="AN50" s="648">
        <f t="shared" si="85"/>
        <v>0</v>
      </c>
      <c r="AO50" s="648">
        <f t="shared" si="85"/>
        <v>0</v>
      </c>
      <c r="AP50" s="648">
        <f t="shared" si="85"/>
        <v>0</v>
      </c>
      <c r="AQ50" s="648">
        <f t="shared" si="85"/>
        <v>0</v>
      </c>
      <c r="AR50" s="648">
        <f t="shared" si="85"/>
        <v>0</v>
      </c>
      <c r="AS50" s="648">
        <f t="shared" si="85"/>
        <v>0</v>
      </c>
      <c r="AT50" s="648">
        <f t="shared" si="85"/>
        <v>0</v>
      </c>
      <c r="AU50" s="648">
        <f t="shared" si="85"/>
        <v>0</v>
      </c>
      <c r="AV50" s="645"/>
      <c r="AW50" s="645"/>
      <c r="AX50" s="645"/>
      <c r="AY50" s="645"/>
      <c r="AZ50" s="645"/>
      <c r="BA50" s="645"/>
      <c r="BB50" s="645"/>
      <c r="BC50" s="645"/>
      <c r="BD50" s="645"/>
      <c r="BE50" s="645"/>
      <c r="BF50" s="645"/>
    </row>
    <row r="51" spans="2:58" ht="15.75" customHeight="1" x14ac:dyDescent="0.2">
      <c r="B51" s="627"/>
      <c r="C51" s="627"/>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46" t="str">
        <f>M2&amp;", g"</f>
        <v>ADF, g</v>
      </c>
      <c r="AM51" s="649">
        <f t="shared" ref="AM51:AU51" si="86">(AM$4*$M$4*$D$4+AM$5*$M$5*$D$5+AM$6*$M$6*$D$6+AM$7*$M$7*$D$7+AM$8*$M$8*$D$8+AM$9*$M$9*$D$9+AM$10*$M$10*$D$10+AM$11*$M$11*$D$11+AM$12*$M$12*$D$12+AM$13*$M$13*$D$13+AM$14*$M$14*$D$14+AM$15*$M$15*$D$15+AM$16*$M$16*$D$16+AM$17*$M$17*$D$17+AM$18*$M$18*$D$18+AM$19*$M$19*$D$19+AM$20*$M$20*$D$20+AM$21*$M$21*$D$21+AM$22*$M$22*$D$22+AM$23*$M$23*$D$23+AM$24*$M$24*$D$24)/100</f>
        <v>0</v>
      </c>
      <c r="AN51" s="649">
        <f t="shared" si="86"/>
        <v>0</v>
      </c>
      <c r="AO51" s="649">
        <f t="shared" si="86"/>
        <v>0</v>
      </c>
      <c r="AP51" s="649">
        <f t="shared" si="86"/>
        <v>0</v>
      </c>
      <c r="AQ51" s="649">
        <f t="shared" si="86"/>
        <v>0</v>
      </c>
      <c r="AR51" s="649">
        <f t="shared" si="86"/>
        <v>0</v>
      </c>
      <c r="AS51" s="649">
        <f t="shared" si="86"/>
        <v>0</v>
      </c>
      <c r="AT51" s="649">
        <f t="shared" si="86"/>
        <v>0</v>
      </c>
      <c r="AU51" s="649">
        <f t="shared" si="86"/>
        <v>0</v>
      </c>
      <c r="AV51" s="620"/>
      <c r="AW51" s="620"/>
      <c r="AX51" s="620"/>
      <c r="AY51" s="620"/>
      <c r="AZ51" s="620"/>
      <c r="BA51" s="620"/>
      <c r="BB51" s="620"/>
      <c r="BC51" s="620"/>
      <c r="BD51" s="620"/>
      <c r="BE51" s="620"/>
      <c r="BF51" s="627"/>
    </row>
    <row r="52" spans="2:58" ht="15.75" customHeight="1" x14ac:dyDescent="0.2">
      <c r="B52" s="627"/>
      <c r="C52" s="627"/>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46" t="str">
        <f>N2&amp;", g"</f>
        <v>NDF, g</v>
      </c>
      <c r="AM52" s="649">
        <f t="shared" ref="AM52:AU52" si="87">(AM$4*$N$4*$D$4+AM$5*$N$5*$D$5+AM$6*$N$6*$D$6+AM$7*$N$7*$D$7+AM$8*$N$8*$D$8+AM$9*$N$9*$D$9+AM$10*$N$10*$D$10+AM$11*$N$11*$D$11+AM$12*$N$12*$D$12+AM$13*$N$13*$D$13+AM$14*$N$14*$D$14+AM$15*$N$15*$D$15+AM$16*$N$16*$D$16+AM$17*$N$17*$D$17+AM$18*$N$18*$D$18+AM$19*$N$19*$D$19+AM$20*$N$20*$D$20+AM$21*$N$21*$D$21+AM$22*$N$22*$D$22+AM$23*$N$23*$D$23+AM$24*$N$24*$D$24)/100</f>
        <v>0</v>
      </c>
      <c r="AN52" s="649">
        <f t="shared" si="87"/>
        <v>0</v>
      </c>
      <c r="AO52" s="649">
        <f t="shared" si="87"/>
        <v>0</v>
      </c>
      <c r="AP52" s="649">
        <f t="shared" si="87"/>
        <v>0</v>
      </c>
      <c r="AQ52" s="649">
        <f t="shared" si="87"/>
        <v>0</v>
      </c>
      <c r="AR52" s="649">
        <f t="shared" si="87"/>
        <v>0</v>
      </c>
      <c r="AS52" s="649">
        <f t="shared" si="87"/>
        <v>0</v>
      </c>
      <c r="AT52" s="649">
        <f t="shared" si="87"/>
        <v>0</v>
      </c>
      <c r="AU52" s="649">
        <f t="shared" si="87"/>
        <v>0</v>
      </c>
      <c r="AV52" s="620"/>
      <c r="AW52" s="620"/>
      <c r="AX52" s="620"/>
      <c r="AY52" s="620"/>
      <c r="AZ52" s="620"/>
      <c r="BA52" s="620"/>
      <c r="BB52" s="620"/>
      <c r="BC52" s="620"/>
      <c r="BD52" s="620"/>
      <c r="BE52" s="620"/>
      <c r="BF52" s="620"/>
    </row>
    <row r="53" spans="2:58" ht="15.75" customHeight="1" x14ac:dyDescent="0.2">
      <c r="B53" s="627"/>
      <c r="C53" s="627"/>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46" t="str">
        <f>O2&amp;", g"</f>
        <v>NFC, g</v>
      </c>
      <c r="AM53" s="649">
        <f t="shared" ref="AM53:AU53" si="88">(AM$4*$O$4*$D$4+AM$5*$O$5*$D$5+AM$6*$O$6*$D$6+AM$7*$O$7*$D$7+AM$8*$O$8*$D$8+AM$9*$O$9*$D$9+AM$10*$O$10*$D$10+AM$11*$O$11*$D$11+AM$12*$O$12*$D$12+AM$13*$O$13*$D$13+AM$14*$O$14*$D$14+AM$15*$O$15*$D$15+AM$16*$O$16*$D$16+AM$17*$O$17*$D$17+AM$18*$O$18*$D$18+AM$19*$O$19*$D$19+AM$20*$O$20*$D$20+AM$21*$O$21*$D$21+AM$22*$O$22*$D$22+AM$23*$O$23*$D$23+AM$24*$O$24*$D$24)/100</f>
        <v>0</v>
      </c>
      <c r="AN53" s="649">
        <f t="shared" si="88"/>
        <v>0</v>
      </c>
      <c r="AO53" s="649">
        <f t="shared" si="88"/>
        <v>0</v>
      </c>
      <c r="AP53" s="649">
        <f t="shared" si="88"/>
        <v>0</v>
      </c>
      <c r="AQ53" s="649">
        <f t="shared" si="88"/>
        <v>0</v>
      </c>
      <c r="AR53" s="649">
        <f t="shared" si="88"/>
        <v>0</v>
      </c>
      <c r="AS53" s="649">
        <f t="shared" si="88"/>
        <v>0</v>
      </c>
      <c r="AT53" s="649">
        <f t="shared" si="88"/>
        <v>0</v>
      </c>
      <c r="AU53" s="649">
        <f t="shared" si="88"/>
        <v>0</v>
      </c>
      <c r="AV53" s="620"/>
      <c r="AW53" s="620"/>
      <c r="AX53" s="620"/>
      <c r="AY53" s="620"/>
      <c r="AZ53" s="620"/>
      <c r="BA53" s="620"/>
      <c r="BB53" s="620"/>
      <c r="BC53" s="620"/>
      <c r="BD53" s="620"/>
      <c r="BE53" s="620"/>
      <c r="BF53" s="620"/>
    </row>
    <row r="54" spans="2:58" ht="15.75" customHeight="1" x14ac:dyDescent="0.2">
      <c r="B54" s="627"/>
      <c r="C54" s="627"/>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c r="AL54" s="646" t="str">
        <f>P2&amp;", g"</f>
        <v>XZ, g</v>
      </c>
      <c r="AM54" s="649">
        <f t="shared" ref="AM54:AU54" si="89">(AM$4*$P$4*$D$4+AM$5*$P$5*$D$5+AM$6*$P$6*$D$6+AM$7*$P$7*$D$7+AM$8*$P$8*$D$8+AM$9*$P$9*$D$9+AM$10*$P$10*$D$10+AM$11*$P$11*$D$11+AM$12*$P$12*$D$12+AM$13*$P$13*$D$13+AM$14*$P$14*$D$14+AM$15*$P$15*$D$15+AM$16*$P$16*$D$16+AM$17*$P$17*$D$17+AM$18*$P$18*$D$18+AM$19*$P$19*$D$19+AM$20*$P$20*$D$20+AM$21*$P$21*$D$21+AM$22*$P$22*$D$22+AM$23*$P$23*$D$23+AM$24*$P$24*$D$24)/100</f>
        <v>0</v>
      </c>
      <c r="AN54" s="649">
        <f t="shared" si="89"/>
        <v>0</v>
      </c>
      <c r="AO54" s="649">
        <f t="shared" si="89"/>
        <v>0</v>
      </c>
      <c r="AP54" s="649">
        <f t="shared" si="89"/>
        <v>0</v>
      </c>
      <c r="AQ54" s="649">
        <f t="shared" si="89"/>
        <v>0</v>
      </c>
      <c r="AR54" s="649">
        <f t="shared" si="89"/>
        <v>0</v>
      </c>
      <c r="AS54" s="649">
        <f t="shared" si="89"/>
        <v>0</v>
      </c>
      <c r="AT54" s="649">
        <f t="shared" si="89"/>
        <v>0</v>
      </c>
      <c r="AU54" s="649">
        <f t="shared" si="89"/>
        <v>0</v>
      </c>
      <c r="AV54" s="620"/>
      <c r="AW54" s="620"/>
      <c r="AX54" s="620"/>
      <c r="AY54" s="620"/>
      <c r="AZ54" s="620"/>
      <c r="BA54" s="620"/>
      <c r="BB54" s="620"/>
      <c r="BC54" s="620"/>
      <c r="BD54" s="620"/>
      <c r="BE54" s="620"/>
      <c r="BF54" s="620"/>
    </row>
    <row r="55" spans="2:58" ht="15.75" customHeight="1" x14ac:dyDescent="0.2">
      <c r="B55" s="627"/>
      <c r="C55" s="627"/>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620"/>
      <c r="AI55" s="620"/>
      <c r="AJ55" s="620"/>
      <c r="AK55" s="620"/>
      <c r="AL55" s="646" t="str">
        <f>Q2&amp;", g"</f>
        <v>XL, g</v>
      </c>
      <c r="AM55" s="649">
        <f t="shared" ref="AM55:AU55" si="90">(AM$4*$Q$4*$D$4+AM$5*$Q$5*$D$5+AM$6*$Q$6*$D$6+AM$7*$Q$7*$D$7+AM$8*$Q$8*$D$8+AM$9*$Q$9*$D$9+AM$10*$Q$10*$D$10+AM$11*$Q$11*$D$11+AM$12*$Q$12*$D$12+AM$13*$Q$13*$D$13+AM$14*$Q$14*$D$14+AM$15*$Q$15*$D$15+AM$16*$Q$16*$D$16+AM$17*$Q$17*$D$17+AM$18*$Q$18*$D$18+AM$19*$Q$19*$D$19+AM$20*$Q$20*$D$20+AM$21*$Q$21*$D$21+AM$22*$Q$22*$D$22+AM$23*$Q$23*$D$23+AM$24*$Q$24*$D$24)/100</f>
        <v>0</v>
      </c>
      <c r="AN55" s="649">
        <f t="shared" si="90"/>
        <v>0</v>
      </c>
      <c r="AO55" s="649">
        <f t="shared" si="90"/>
        <v>0</v>
      </c>
      <c r="AP55" s="649">
        <f t="shared" si="90"/>
        <v>0</v>
      </c>
      <c r="AQ55" s="649">
        <f t="shared" si="90"/>
        <v>0</v>
      </c>
      <c r="AR55" s="649">
        <f t="shared" si="90"/>
        <v>0</v>
      </c>
      <c r="AS55" s="649">
        <f t="shared" si="90"/>
        <v>0</v>
      </c>
      <c r="AT55" s="649">
        <f t="shared" si="90"/>
        <v>0</v>
      </c>
      <c r="AU55" s="649">
        <f t="shared" si="90"/>
        <v>0</v>
      </c>
      <c r="AV55" s="620"/>
      <c r="AW55" s="620"/>
      <c r="AX55" s="620"/>
      <c r="AY55" s="620"/>
      <c r="AZ55" s="620"/>
      <c r="BA55" s="620"/>
      <c r="BB55" s="620"/>
      <c r="BC55" s="620"/>
      <c r="BD55" s="620"/>
      <c r="BE55" s="620"/>
      <c r="BF55" s="620"/>
    </row>
    <row r="56" spans="2:58" ht="15.75" customHeight="1" x14ac:dyDescent="0.2">
      <c r="B56" s="627"/>
      <c r="C56" s="627"/>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46" t="str">
        <f>R2&amp;", g"</f>
        <v>XF, g</v>
      </c>
      <c r="AM56" s="649">
        <f t="shared" ref="AM56:AU56" si="91">(AM$4*$R$4*$D$4+AM$5*$R$5*$D$5+AM$6*$R$6*$D$6+AM$7*$R$7*$D$7+AM$8*$R$8*$D$8+AM$9*$R$9*$D$9+AM$10*$R$10*$D$10+AM$11*$R$11*$D$11+AM$12*$R$12*$D$12+AM$13*$R$13*$D$13+AM$14*$R$14*$D$14+AM$15*$R$15*$D$15+AM$16*$R$16*$D$16+AM$17*$R$17*$D$17+AM$18*$R$18*$D$18+AM$19*$R$19*$D$19+AM$20*$R$20*$D$20+AM$21*$R$21*$D$21+AM$22*$R$22*$D$22+AM$23*$R$23*$D$23+AM$24*$R$24*$D$24)/100</f>
        <v>0</v>
      </c>
      <c r="AN56" s="649">
        <f t="shared" si="91"/>
        <v>0</v>
      </c>
      <c r="AO56" s="649">
        <f t="shared" si="91"/>
        <v>0</v>
      </c>
      <c r="AP56" s="649">
        <f t="shared" si="91"/>
        <v>0</v>
      </c>
      <c r="AQ56" s="649">
        <f t="shared" si="91"/>
        <v>0</v>
      </c>
      <c r="AR56" s="649">
        <f t="shared" si="91"/>
        <v>0</v>
      </c>
      <c r="AS56" s="649">
        <f t="shared" si="91"/>
        <v>0</v>
      </c>
      <c r="AT56" s="649">
        <f t="shared" si="91"/>
        <v>0</v>
      </c>
      <c r="AU56" s="649">
        <f t="shared" si="91"/>
        <v>0</v>
      </c>
      <c r="AV56" s="620"/>
      <c r="AW56" s="620"/>
      <c r="AX56" s="620"/>
      <c r="AY56" s="620"/>
      <c r="AZ56" s="620"/>
      <c r="BA56" s="620"/>
      <c r="BB56" s="620"/>
      <c r="BC56" s="620"/>
      <c r="BD56" s="620"/>
      <c r="BE56" s="620"/>
      <c r="BF56" s="620"/>
    </row>
    <row r="57" spans="2:58" ht="15.75" customHeight="1" x14ac:dyDescent="0.2">
      <c r="B57" s="627"/>
      <c r="C57" s="627"/>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46" t="str">
        <f>R2&amp;", g/kg TM"</f>
        <v>XF, g/kg TM</v>
      </c>
      <c r="AM57" s="649">
        <f>IF(AM26=0,0,AM56/AM26)</f>
        <v>0</v>
      </c>
      <c r="AN57" s="649">
        <f t="shared" ref="AN57:AU57" si="92">IF(AN26=0,0,AN56/AN26)</f>
        <v>0</v>
      </c>
      <c r="AO57" s="649">
        <f t="shared" si="92"/>
        <v>0</v>
      </c>
      <c r="AP57" s="649">
        <f t="shared" si="92"/>
        <v>0</v>
      </c>
      <c r="AQ57" s="649">
        <f t="shared" si="92"/>
        <v>0</v>
      </c>
      <c r="AR57" s="649">
        <f t="shared" si="92"/>
        <v>0</v>
      </c>
      <c r="AS57" s="649">
        <f t="shared" si="92"/>
        <v>0</v>
      </c>
      <c r="AT57" s="649">
        <f t="shared" si="92"/>
        <v>0</v>
      </c>
      <c r="AU57" s="649">
        <f t="shared" si="92"/>
        <v>0</v>
      </c>
      <c r="AV57" s="620"/>
      <c r="AW57" s="620"/>
      <c r="AX57" s="620"/>
      <c r="AY57" s="620"/>
      <c r="AZ57" s="620"/>
      <c r="BA57" s="620"/>
      <c r="BB57" s="620"/>
      <c r="BC57" s="620"/>
      <c r="BD57" s="620"/>
      <c r="BE57" s="620"/>
      <c r="BF57" s="620"/>
    </row>
    <row r="58" spans="2:58" ht="15.75" hidden="1" customHeight="1" x14ac:dyDescent="0.2">
      <c r="B58" s="627"/>
      <c r="C58" s="627"/>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46" t="str">
        <f>S2&amp;"g/kg TM"</f>
        <v>sXFg/kg TM</v>
      </c>
      <c r="AM58" s="649">
        <f t="shared" ref="AM58:AU58" si="93">(AM$4*$S$4*$D$4+AM$5*$S$5*$D$5+AM$6*$S$6*$D$6+AM$7*$S$7*$D$7+AM$8*$S$8*$D$8+AM$9*$S$9*$D$9+AM$10*$S$10*$D$10+AM$11*$S$11*$D$11+AM$12*$S$12*$D$12+AM$13*$S$13*$D$13+AM$14*$S$14*$D$14+AM$15*$S$15*$D$15+AM$16*$S$16*$D$16+AM$17*$S$17*$D$17+AM$18*$S$18*$D$18+AM$19*$S$19*$D$19+AM$20*$S$20*$D$20+AM$21*$S$21*$D$21+AM$22*$S$22*$D$22+AM$23*$S$23*$D$23+AM$24*$S$24*$D$24)/100</f>
        <v>0</v>
      </c>
      <c r="AN58" s="649">
        <f t="shared" si="93"/>
        <v>0</v>
      </c>
      <c r="AO58" s="649">
        <f t="shared" si="93"/>
        <v>0</v>
      </c>
      <c r="AP58" s="649">
        <f t="shared" si="93"/>
        <v>0</v>
      </c>
      <c r="AQ58" s="649">
        <f t="shared" si="93"/>
        <v>0</v>
      </c>
      <c r="AR58" s="649">
        <f t="shared" si="93"/>
        <v>0</v>
      </c>
      <c r="AS58" s="649">
        <f t="shared" si="93"/>
        <v>0</v>
      </c>
      <c r="AT58" s="649">
        <f t="shared" si="93"/>
        <v>0</v>
      </c>
      <c r="AU58" s="649">
        <f t="shared" si="93"/>
        <v>0</v>
      </c>
      <c r="AV58" s="620"/>
      <c r="AW58" s="620"/>
      <c r="AX58" s="620"/>
      <c r="AY58" s="620"/>
      <c r="AZ58" s="620"/>
      <c r="BA58" s="620"/>
      <c r="BB58" s="620"/>
      <c r="BC58" s="620"/>
      <c r="BD58" s="620"/>
      <c r="BE58" s="620"/>
      <c r="BF58" s="620"/>
    </row>
    <row r="59" spans="2:58" ht="15.75" customHeight="1" x14ac:dyDescent="0.2">
      <c r="B59" s="627"/>
      <c r="C59" s="627"/>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46" t="str">
        <f>T2&amp;", g/kg TM"</f>
        <v>XA, g/kg TM</v>
      </c>
      <c r="AM59" s="651">
        <f>IF(AM26=0,0,AM60/AM26)</f>
        <v>0</v>
      </c>
      <c r="AN59" s="651">
        <f t="shared" ref="AN59:AU59" si="94">IF(AN26=0,0,AN60/AN26)</f>
        <v>0</v>
      </c>
      <c r="AO59" s="651">
        <f t="shared" si="94"/>
        <v>0</v>
      </c>
      <c r="AP59" s="651">
        <f t="shared" si="94"/>
        <v>0</v>
      </c>
      <c r="AQ59" s="651">
        <f t="shared" si="94"/>
        <v>0</v>
      </c>
      <c r="AR59" s="651">
        <f t="shared" si="94"/>
        <v>0</v>
      </c>
      <c r="AS59" s="651">
        <f t="shared" si="94"/>
        <v>0</v>
      </c>
      <c r="AT59" s="651">
        <f t="shared" si="94"/>
        <v>0</v>
      </c>
      <c r="AU59" s="651">
        <f t="shared" si="94"/>
        <v>0</v>
      </c>
      <c r="AV59" s="620"/>
      <c r="AW59" s="620"/>
      <c r="AX59" s="620"/>
      <c r="AY59" s="620"/>
      <c r="AZ59" s="620"/>
      <c r="BA59" s="620"/>
      <c r="BB59" s="620"/>
      <c r="BC59" s="620"/>
      <c r="BD59" s="620"/>
      <c r="BE59" s="620"/>
      <c r="BF59" s="620"/>
    </row>
    <row r="60" spans="2:58" ht="15.75" customHeight="1" x14ac:dyDescent="0.2">
      <c r="B60" s="627"/>
      <c r="C60" s="627"/>
      <c r="D60" s="620"/>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620"/>
      <c r="AC60" s="620"/>
      <c r="AD60" s="620"/>
      <c r="AE60" s="620"/>
      <c r="AF60" s="620"/>
      <c r="AG60" s="620"/>
      <c r="AH60" s="620"/>
      <c r="AI60" s="620"/>
      <c r="AJ60" s="620"/>
      <c r="AK60" s="620"/>
      <c r="AL60" s="646" t="str">
        <f>T2&amp;", g"</f>
        <v>XA, g</v>
      </c>
      <c r="AM60" s="649">
        <f t="shared" ref="AM60:AU60" si="95">(AM$4*$T$4*$D$4+AM$5*$T$5*$D$5+AM$6*$T$6*$D$6+AM$7*$T$7*$D$7+AM$8*$T$8*$D$8+AM$9*$T$9*$D$9+AM$10*$T$10*$D$10+AM$11*$T$11*$D$11+AM$12*$T$12*$D$12+AM$13*$T$13*$D$13+AM$14*$T$14*$D$14+AM$15*$T$15*$D$15+AM$16*$T$16*$D$16+AM$17*$T$17*$D$17+AM$18*$T$18*$D$18+AM$19*$T$19*$D$19+AM$20*$T$20*$D$20+AM$21*$T$21*$D$21+AM$22*$T$22*$D$22+AM$23*$T$23*$D$23+AM$24*$T$24*$D$24)/100</f>
        <v>0</v>
      </c>
      <c r="AN60" s="649">
        <f t="shared" si="95"/>
        <v>0</v>
      </c>
      <c r="AO60" s="649">
        <f t="shared" si="95"/>
        <v>0</v>
      </c>
      <c r="AP60" s="649">
        <f t="shared" si="95"/>
        <v>0</v>
      </c>
      <c r="AQ60" s="649">
        <f t="shared" si="95"/>
        <v>0</v>
      </c>
      <c r="AR60" s="649">
        <f t="shared" si="95"/>
        <v>0</v>
      </c>
      <c r="AS60" s="649">
        <f t="shared" si="95"/>
        <v>0</v>
      </c>
      <c r="AT60" s="649">
        <f t="shared" si="95"/>
        <v>0</v>
      </c>
      <c r="AU60" s="649">
        <f t="shared" si="95"/>
        <v>0</v>
      </c>
      <c r="AV60" s="620"/>
      <c r="AW60" s="620"/>
      <c r="AX60" s="620"/>
      <c r="AY60" s="620"/>
      <c r="AZ60" s="620"/>
      <c r="BA60" s="620"/>
      <c r="BB60" s="620"/>
      <c r="BC60" s="620"/>
      <c r="BD60" s="620"/>
      <c r="BE60" s="620"/>
      <c r="BF60" s="620"/>
    </row>
    <row r="61" spans="2:58" ht="15.75" customHeight="1" x14ac:dyDescent="0.2">
      <c r="B61" s="627"/>
      <c r="C61" s="627"/>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620"/>
      <c r="AD61" s="620"/>
      <c r="AE61" s="620"/>
      <c r="AF61" s="620"/>
      <c r="AG61" s="620"/>
      <c r="AH61" s="620"/>
      <c r="AI61" s="620"/>
      <c r="AJ61" s="620"/>
      <c r="AK61" s="620"/>
      <c r="AL61" s="646" t="str">
        <f>U2&amp;", g/kg TM"</f>
        <v>Ca, g/kg TM</v>
      </c>
      <c r="AM61" s="649">
        <f t="shared" ref="AM61:AU61" si="96">(AM$4*$U$4*$D$4+AM$5*$U$5*$D$5+AM$6*$U$6*$D$6+AM$7*$U$7*$D$7+AM$8*$U$8*$D$8+AM$9*$U$9*$D$9+AM$10*$U$10*$D$10+AM$11*$U$11*$D$11+AM$12*$U$12*$D$12+AM$13*$U$13*$D$13+AM$14*$U$14*$D$14+AM$15*$U$15*$D$15+AM$16*$U$16*$D$16+AM$17*$U$17*$D$17+AM$18*$U$18*$D$18+AM$19*$U$19*$D$19+AM$20*$U$20*$D$20+AM$21*$U$21*$D$21+AM$22*$U$22*$D$22+AM$23*$U$23*$D$23+AM$24*$U$24*$D$24)/100</f>
        <v>0</v>
      </c>
      <c r="AN61" s="649">
        <f t="shared" si="96"/>
        <v>0</v>
      </c>
      <c r="AO61" s="649">
        <f t="shared" si="96"/>
        <v>0</v>
      </c>
      <c r="AP61" s="649">
        <f t="shared" si="96"/>
        <v>0</v>
      </c>
      <c r="AQ61" s="649">
        <f t="shared" si="96"/>
        <v>0</v>
      </c>
      <c r="AR61" s="649">
        <f t="shared" si="96"/>
        <v>0</v>
      </c>
      <c r="AS61" s="649">
        <f t="shared" si="96"/>
        <v>0</v>
      </c>
      <c r="AT61" s="649">
        <f t="shared" si="96"/>
        <v>0</v>
      </c>
      <c r="AU61" s="649">
        <f t="shared" si="96"/>
        <v>0</v>
      </c>
      <c r="AV61" s="620"/>
      <c r="AW61" s="620"/>
      <c r="AX61" s="620"/>
      <c r="AY61" s="620"/>
      <c r="AZ61" s="620"/>
      <c r="BA61" s="620"/>
      <c r="BB61" s="620"/>
      <c r="BC61" s="620"/>
      <c r="BD61" s="620"/>
      <c r="BE61" s="620"/>
      <c r="BF61" s="620"/>
    </row>
    <row r="62" spans="2:58" ht="15.75" customHeight="1" x14ac:dyDescent="0.2">
      <c r="B62" s="627"/>
      <c r="C62" s="627"/>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c r="AF62" s="620"/>
      <c r="AG62" s="620"/>
      <c r="AH62" s="620"/>
      <c r="AI62" s="620"/>
      <c r="AJ62" s="620"/>
      <c r="AK62" s="620"/>
      <c r="AL62" s="646" t="str">
        <f>V2&amp;", g/kg TM"</f>
        <v>P, g/kg TM</v>
      </c>
      <c r="AM62" s="649">
        <f t="shared" ref="AM62:AU62" si="97">(AM$4*$V$4*$D$4+AM$5*$V$5*$D$5+AM$6*$V$6*$D$6+AM$7*$V$7*$D$7+AM$8*$V$8*$D$8+AM$9*$V$9*$D$9+AM$10*$V$10*$D$10+AM$11*$V$11*$D$11+AM$12*$V$12*$D$12+AM$13*$V$13*$D$13+AM$14*$V$14*$D$14+AM$15*$V$15*$D$15+AM$16*$V$16*$D$16+AM$17*$V$17*$D$17+AM$18*$V$18*$D$18+AM$19*$V$19*$D$19+AM$20*$V$20*$D$20+AM$21*$V$21*$D$21+AM$22*$V$22*$D$22+AM$23*$V$23*$D$23+AM$24*$V$24*$D$24)/100</f>
        <v>0</v>
      </c>
      <c r="AN62" s="649">
        <f t="shared" si="97"/>
        <v>0</v>
      </c>
      <c r="AO62" s="649">
        <f t="shared" si="97"/>
        <v>0</v>
      </c>
      <c r="AP62" s="649">
        <f t="shared" si="97"/>
        <v>0</v>
      </c>
      <c r="AQ62" s="649">
        <f t="shared" si="97"/>
        <v>0</v>
      </c>
      <c r="AR62" s="649">
        <f t="shared" si="97"/>
        <v>0</v>
      </c>
      <c r="AS62" s="649">
        <f t="shared" si="97"/>
        <v>0</v>
      </c>
      <c r="AT62" s="649">
        <f t="shared" si="97"/>
        <v>0</v>
      </c>
      <c r="AU62" s="649">
        <f t="shared" si="97"/>
        <v>0</v>
      </c>
      <c r="AV62" s="620"/>
      <c r="AW62" s="620"/>
      <c r="AX62" s="620"/>
      <c r="AY62" s="620"/>
      <c r="AZ62" s="620"/>
      <c r="BA62" s="620"/>
      <c r="BB62" s="620"/>
      <c r="BC62" s="620"/>
      <c r="BD62" s="620"/>
      <c r="BE62" s="620"/>
      <c r="BF62" s="620"/>
    </row>
    <row r="63" spans="2:58" ht="15.75" customHeight="1" x14ac:dyDescent="0.2">
      <c r="B63" s="627"/>
      <c r="C63" s="627"/>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620"/>
      <c r="AK63" s="620"/>
      <c r="AL63" s="646" t="str">
        <f>W2&amp;", g/kg TM"</f>
        <v>Na, g/kg TM</v>
      </c>
      <c r="AM63" s="648">
        <f t="shared" ref="AM63:AU63" si="98">(AM$4*$W$4*$D$4+AM$5*$W$5*$D$5+AM$6*$W$6*$D$6+AM$7*$W$7*$D$7+AM$8*$W$8*$D$8+AM$9*$W$9*$D$9+AM$10*$W$10*$D$10+AM$11*$W$11*$D$11+AM$12*$W$12*$D$12+AM$13*$W$13*$D$13+AM$14*$W$14*$D$14+AM$15*$W$15*$D$15+AM$16*$W$16*$D$16+AM$17*$W$17*$D$17+AM$18*$W$18*$D$18+AM$19*$W$19*$D$19+AM$20*$W$20*$D$20+AM$21*$W$21*$D$21+AM$22*$W$22*$D$22+AM$23*$W$23*$D$23+AM$24*$W$24*$D$24)/100</f>
        <v>0</v>
      </c>
      <c r="AN63" s="648">
        <f t="shared" si="98"/>
        <v>0</v>
      </c>
      <c r="AO63" s="648">
        <f t="shared" si="98"/>
        <v>0</v>
      </c>
      <c r="AP63" s="648">
        <f t="shared" si="98"/>
        <v>0</v>
      </c>
      <c r="AQ63" s="648">
        <f t="shared" si="98"/>
        <v>0</v>
      </c>
      <c r="AR63" s="648">
        <f t="shared" si="98"/>
        <v>0</v>
      </c>
      <c r="AS63" s="648">
        <f t="shared" si="98"/>
        <v>0</v>
      </c>
      <c r="AT63" s="648">
        <f t="shared" si="98"/>
        <v>0</v>
      </c>
      <c r="AU63" s="648">
        <f t="shared" si="98"/>
        <v>0</v>
      </c>
      <c r="AV63" s="620"/>
      <c r="AW63" s="620"/>
      <c r="AX63" s="620"/>
      <c r="AY63" s="620"/>
      <c r="AZ63" s="620"/>
      <c r="BA63" s="620"/>
      <c r="BB63" s="620"/>
      <c r="BC63" s="620"/>
      <c r="BD63" s="620"/>
      <c r="BE63" s="620"/>
      <c r="BF63" s="620"/>
    </row>
    <row r="64" spans="2:58" ht="15.75" customHeight="1" x14ac:dyDescent="0.2">
      <c r="B64" s="627"/>
      <c r="C64" s="627"/>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c r="AF64" s="620"/>
      <c r="AG64" s="620"/>
      <c r="AH64" s="620"/>
      <c r="AI64" s="620"/>
      <c r="AJ64" s="620"/>
      <c r="AK64" s="620"/>
      <c r="AL64" s="646" t="str">
        <f>X2&amp;", g/kg TM"</f>
        <v>Mg, g/kg TM</v>
      </c>
      <c r="AM64" s="648">
        <f t="shared" ref="AM64:AU64" si="99">(AM$4*$X$4*$D$4+AM$5*$X$5*$D$5+AM$6*$X$6*$D$6+AM$7*$X$7*$D$7+AM$8*$X$8*$D$8+AM$9*$X$9*$D$9+AM$10*$X$10*$D$10+AM$11*$X$11*$D$11+AM$12*$X$12*$D$12+AM$13*$X$13*$D$13+AM$14*$X$14*$D$14+AM$15*$X$15*$D$15+AM$16*$X$16*$D$16+AM$17*$X$17*$D$17+AM$18*$X$18*$D$18+AM$19*$X$19*$D$19+AM$20*$X$20*$D$20+AM$21*$X$21*$D$21+AM$22*$X$22*$D$22+AM$23*$X$23*$D$23+AM$24*$X$24*$D$24)/100</f>
        <v>0</v>
      </c>
      <c r="AN64" s="648">
        <f t="shared" si="99"/>
        <v>0</v>
      </c>
      <c r="AO64" s="648">
        <f t="shared" si="99"/>
        <v>0</v>
      </c>
      <c r="AP64" s="648">
        <f t="shared" si="99"/>
        <v>0</v>
      </c>
      <c r="AQ64" s="648">
        <f t="shared" si="99"/>
        <v>0</v>
      </c>
      <c r="AR64" s="648">
        <f t="shared" si="99"/>
        <v>0</v>
      </c>
      <c r="AS64" s="648">
        <f t="shared" si="99"/>
        <v>0</v>
      </c>
      <c r="AT64" s="648">
        <f t="shared" si="99"/>
        <v>0</v>
      </c>
      <c r="AU64" s="648">
        <f t="shared" si="99"/>
        <v>0</v>
      </c>
      <c r="AV64" s="620"/>
      <c r="AW64" s="620"/>
      <c r="AX64" s="620"/>
      <c r="AY64" s="620"/>
      <c r="AZ64" s="620"/>
      <c r="BA64" s="620"/>
      <c r="BB64" s="620"/>
      <c r="BC64" s="620"/>
      <c r="BD64" s="620"/>
      <c r="BE64" s="620"/>
      <c r="BF64" s="620"/>
    </row>
    <row r="65" spans="1:58" ht="15.75" customHeight="1" x14ac:dyDescent="0.2">
      <c r="B65" s="627"/>
      <c r="C65" s="627"/>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46" t="str">
        <f>Y2&amp;", g/kg TM"</f>
        <v>K, g/kg TM</v>
      </c>
      <c r="AM65" s="649">
        <f t="shared" ref="AM65:AU65" si="100">(AM$4*$Y$4*$D$4+AM$5*$Y$5*$D$5+AM$6*$Y$6*$D$6+AM$7*$Y$7*$D$7+AM$8*$Y$8*$D$8+AM$9*$Y$9*$D$9+AM$10*$Y$10*$D$10+AM$11*$Y$11*$D$11+AM$12*$Y$12*$D$12+AM$13*$Y$13*$D$13+AM$14*$Y$14*$D$14+AM$15*$Y$15*$D$15+AM$16*$Y$16*$D$16+AM$17*$Y$17*$D$17+AM$18*$Y$18*$D$18+AM$19*$Y$19*$D$19+AM$20*$Y$20*$D$20+AM$21*$Y$21*$D$21+AM$22*$Y$22*$D$22+AM$23*$Y$23*$D$23+AM$24*$Y$24*$D$24)/100</f>
        <v>0</v>
      </c>
      <c r="AN65" s="649">
        <f t="shared" si="100"/>
        <v>0</v>
      </c>
      <c r="AO65" s="649">
        <f t="shared" si="100"/>
        <v>0</v>
      </c>
      <c r="AP65" s="649">
        <f t="shared" si="100"/>
        <v>0</v>
      </c>
      <c r="AQ65" s="649">
        <f t="shared" si="100"/>
        <v>0</v>
      </c>
      <c r="AR65" s="649">
        <f t="shared" si="100"/>
        <v>0</v>
      </c>
      <c r="AS65" s="649">
        <f t="shared" si="100"/>
        <v>0</v>
      </c>
      <c r="AT65" s="649">
        <f t="shared" si="100"/>
        <v>0</v>
      </c>
      <c r="AU65" s="649">
        <f t="shared" si="100"/>
        <v>0</v>
      </c>
      <c r="AV65" s="620"/>
      <c r="AW65" s="620"/>
      <c r="AX65" s="620"/>
      <c r="AY65" s="620"/>
      <c r="AZ65" s="620"/>
      <c r="BA65" s="620"/>
      <c r="BB65" s="620"/>
      <c r="BC65" s="620"/>
      <c r="BD65" s="620"/>
      <c r="BE65" s="620"/>
      <c r="BF65" s="620"/>
    </row>
    <row r="66" spans="1:58" ht="15.75" customHeight="1" x14ac:dyDescent="0.2">
      <c r="B66" s="627"/>
      <c r="C66" s="627"/>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46" t="str">
        <f>Z2&amp;", g/kg TM"</f>
        <v>Se, g/kg TM</v>
      </c>
      <c r="AM66" s="648">
        <f t="shared" ref="AM66:AU66" si="101">(AM$4*$Z$4*$D$4+AM$5*$Z$5*$D$5+AM$6*$Z$6*$D$6+AM$7*$Z$7*$D$7+AM$8*$Z$8*$D$8+AM$9*$Z$9*$D$9+AM$10*$Z$10*$D$10+AM$11*$Z$11*$D$11+AM$12*$Z$12*$D$12+AM$13*$Z$13*$D$13+AM$14*$Z$14*$D$14+AM$15*$Z$15*$D$15+AM$16*$Z$16*$D$16+AM$17*$Z$17*$D$17+AM$18*$Z$18*$D$18+AM$19*$Z$19*$D$19+AM$20*$Z$20*$D$20+AM$21*$Z$21*$D$21+AM$22*$Z$22*$D$22+AM$23*$Z$23*$D$23+AM$24*$Z$24*$D$24)/100</f>
        <v>0</v>
      </c>
      <c r="AN66" s="648">
        <f t="shared" si="101"/>
        <v>0</v>
      </c>
      <c r="AO66" s="648">
        <f t="shared" si="101"/>
        <v>0</v>
      </c>
      <c r="AP66" s="648">
        <f t="shared" si="101"/>
        <v>0</v>
      </c>
      <c r="AQ66" s="648">
        <f t="shared" si="101"/>
        <v>0</v>
      </c>
      <c r="AR66" s="648">
        <f t="shared" si="101"/>
        <v>0</v>
      </c>
      <c r="AS66" s="648">
        <f t="shared" si="101"/>
        <v>0</v>
      </c>
      <c r="AT66" s="648">
        <f t="shared" si="101"/>
        <v>0</v>
      </c>
      <c r="AU66" s="648">
        <f t="shared" si="101"/>
        <v>0</v>
      </c>
      <c r="AV66" s="620"/>
      <c r="AW66" s="620"/>
      <c r="AX66" s="620"/>
      <c r="AY66" s="620"/>
      <c r="AZ66" s="620"/>
      <c r="BA66" s="620"/>
      <c r="BB66" s="620"/>
      <c r="BC66" s="620"/>
      <c r="BD66" s="620"/>
      <c r="BE66" s="620"/>
      <c r="BF66" s="620"/>
    </row>
    <row r="67" spans="1:58" ht="15.75" customHeight="1" x14ac:dyDescent="0.2">
      <c r="B67" s="627"/>
      <c r="C67" s="627"/>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620"/>
      <c r="AL67" s="646" t="str">
        <f>AA2&amp;", €/kg TM"</f>
        <v>Kosten, €/kg TM</v>
      </c>
      <c r="AM67" s="648" t="e">
        <f t="shared" ref="AM67:AU67" si="102">(AM$4*$AA$4*$D$4+AM$5*$AA$5*$D$5+AM$6*$AA$6*$D$6+AM$7*$AA$7*$D$7+AM$8*$AA$8*$D$8+AM$9*$AA$9*$D$9+AM$10*$AA$10*$D$10+AM$11*$AA$11*$D$11+AM$12*$AA$12*$D$12+AM$13*$AA$13*$D$13+AM$14*$AA$14*$D$14+AM$15*$AA$15*$D$15+AM$16*$AA$16*$D$16+AM$17*$AA$17*$D$17+AM$18*$AA$18*$D$18+AM$19*$AA$19*$D$19+AM$20*$AA$20*$D$20+AM$21*$AA$21*$D$21+AM$22*$AA$22*$D$22+AM$23*$AA$23*$D$23+AM$24*$AA$24*$D$24)/100</f>
        <v>#DIV/0!</v>
      </c>
      <c r="AN67" s="648" t="e">
        <f t="shared" si="102"/>
        <v>#DIV/0!</v>
      </c>
      <c r="AO67" s="648" t="e">
        <f t="shared" si="102"/>
        <v>#DIV/0!</v>
      </c>
      <c r="AP67" s="648" t="e">
        <f t="shared" si="102"/>
        <v>#DIV/0!</v>
      </c>
      <c r="AQ67" s="648" t="e">
        <f t="shared" si="102"/>
        <v>#DIV/0!</v>
      </c>
      <c r="AR67" s="648" t="e">
        <f t="shared" si="102"/>
        <v>#DIV/0!</v>
      </c>
      <c r="AS67" s="648" t="e">
        <f t="shared" si="102"/>
        <v>#DIV/0!</v>
      </c>
      <c r="AT67" s="648" t="e">
        <f t="shared" si="102"/>
        <v>#DIV/0!</v>
      </c>
      <c r="AU67" s="648" t="e">
        <f t="shared" si="102"/>
        <v>#DIV/0!</v>
      </c>
      <c r="AV67" s="620"/>
      <c r="AW67" s="620"/>
      <c r="AX67" s="620"/>
      <c r="AY67" s="620"/>
      <c r="AZ67" s="620"/>
      <c r="BA67" s="620"/>
      <c r="BB67" s="620"/>
      <c r="BC67" s="620"/>
      <c r="BD67" s="620"/>
      <c r="BE67" s="620"/>
      <c r="BF67" s="620"/>
    </row>
    <row r="68" spans="1:58" ht="15.75" customHeight="1" x14ac:dyDescent="0.2">
      <c r="B68" s="627"/>
      <c r="C68" s="627"/>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c r="AL68" s="560"/>
      <c r="AM68" s="560"/>
      <c r="AN68" s="560"/>
      <c r="AO68" s="560"/>
      <c r="AP68" s="560"/>
      <c r="AQ68" s="560"/>
      <c r="AR68" s="560"/>
      <c r="AS68" s="560"/>
      <c r="AT68" s="560"/>
      <c r="AU68" s="560"/>
      <c r="AV68" s="620"/>
      <c r="AW68" s="620"/>
      <c r="AX68" s="620"/>
      <c r="AY68" s="620"/>
      <c r="AZ68" s="620"/>
      <c r="BA68" s="620"/>
      <c r="BB68" s="620"/>
      <c r="BC68" s="620"/>
      <c r="BD68" s="620"/>
      <c r="BE68" s="620"/>
      <c r="BF68" s="620"/>
    </row>
    <row r="69" spans="1:58" ht="15.75" customHeight="1" x14ac:dyDescent="0.2">
      <c r="B69" s="627"/>
      <c r="C69" s="627"/>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620"/>
      <c r="AL69" s="560"/>
      <c r="AM69" s="560"/>
      <c r="AN69" s="560"/>
      <c r="AO69" s="560"/>
      <c r="AP69" s="560"/>
      <c r="AQ69" s="560"/>
      <c r="AR69" s="560"/>
      <c r="AS69" s="560"/>
      <c r="AT69" s="560"/>
      <c r="AU69" s="560"/>
      <c r="AV69" s="620"/>
      <c r="AW69" s="620"/>
      <c r="AX69" s="620"/>
      <c r="AY69" s="620"/>
      <c r="AZ69" s="620"/>
      <c r="BA69" s="620"/>
      <c r="BB69" s="620"/>
      <c r="BC69" s="620"/>
      <c r="BD69" s="620"/>
      <c r="BE69" s="620"/>
      <c r="BF69" s="620"/>
    </row>
    <row r="70" spans="1:58" ht="15.75" customHeight="1" x14ac:dyDescent="0.2">
      <c r="B70" s="627"/>
      <c r="C70" s="627"/>
      <c r="D70" s="620"/>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c r="AL70" s="560"/>
      <c r="AM70" s="560"/>
      <c r="AN70" s="560"/>
      <c r="AO70" s="560"/>
      <c r="AP70" s="560"/>
      <c r="AQ70" s="560"/>
      <c r="AR70" s="560"/>
      <c r="AS70" s="560"/>
      <c r="AT70" s="560"/>
      <c r="AU70" s="560"/>
      <c r="AV70" s="620"/>
      <c r="AW70" s="620"/>
      <c r="AX70" s="620"/>
      <c r="AY70" s="620"/>
      <c r="AZ70" s="620"/>
      <c r="BA70" s="620"/>
      <c r="BB70" s="620"/>
      <c r="BC70" s="620"/>
      <c r="BD70" s="620"/>
      <c r="BE70" s="620"/>
      <c r="BF70" s="620"/>
    </row>
    <row r="71" spans="1:58" ht="15.75" customHeight="1" x14ac:dyDescent="0.2">
      <c r="A71" s="559">
        <v>2</v>
      </c>
      <c r="B71" s="627"/>
      <c r="C71" s="627"/>
      <c r="D71" s="620"/>
      <c r="E71" s="620"/>
      <c r="F71" s="620"/>
      <c r="G71" s="620"/>
      <c r="H71" s="620"/>
      <c r="I71" s="620"/>
      <c r="J71" s="620"/>
      <c r="K71" s="620"/>
      <c r="L71" s="620"/>
      <c r="M71" s="620"/>
      <c r="N71" s="620"/>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0"/>
      <c r="AL71" s="560"/>
      <c r="AM71" s="560"/>
      <c r="AN71" s="560"/>
      <c r="AO71" s="560"/>
      <c r="AP71" s="560"/>
      <c r="AQ71" s="560"/>
      <c r="AR71" s="560"/>
      <c r="AS71" s="560"/>
      <c r="AT71" s="560"/>
      <c r="AU71" s="560"/>
      <c r="AV71" s="620"/>
      <c r="AW71" s="620"/>
      <c r="AX71" s="620"/>
      <c r="AY71" s="620"/>
      <c r="AZ71" s="620"/>
      <c r="BA71" s="620"/>
      <c r="BB71" s="620"/>
      <c r="BC71" s="620"/>
      <c r="BD71" s="620"/>
      <c r="BE71" s="620"/>
      <c r="BF71" s="620"/>
    </row>
    <row r="72" spans="1:58" x14ac:dyDescent="0.2">
      <c r="A72" s="559">
        <v>3</v>
      </c>
      <c r="B72" s="627"/>
      <c r="C72" s="627"/>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27"/>
      <c r="AC72" s="627"/>
      <c r="AD72" s="627"/>
      <c r="AE72" s="627"/>
      <c r="AF72" s="627"/>
      <c r="AG72" s="627"/>
      <c r="AH72" s="627"/>
      <c r="AI72" s="627"/>
      <c r="AJ72" s="627"/>
      <c r="AK72" s="627"/>
      <c r="AL72" s="560"/>
      <c r="AM72" s="560"/>
      <c r="AN72" s="560"/>
      <c r="AO72" s="560"/>
      <c r="AP72" s="560"/>
      <c r="AQ72" s="560"/>
      <c r="AR72" s="560"/>
      <c r="AS72" s="560"/>
      <c r="AT72" s="560"/>
      <c r="AU72" s="560"/>
      <c r="AV72" s="627"/>
      <c r="AW72" s="627"/>
      <c r="AX72" s="627"/>
      <c r="AY72" s="627"/>
      <c r="AZ72" s="627"/>
      <c r="BA72" s="627"/>
      <c r="BB72" s="627"/>
      <c r="BC72" s="627"/>
      <c r="BD72" s="627"/>
      <c r="BE72" s="627"/>
      <c r="BF72" s="627"/>
    </row>
  </sheetData>
  <sheetProtection selectLockedCells="1"/>
  <customSheetViews>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1"/>
      <headerFooter>
        <oddFooter>&amp;L&amp;F&amp;A&amp;R&amp;D  &amp;T</oddFooter>
      </headerFooter>
    </customSheetView>
  </customSheetViews>
  <mergeCells count="16">
    <mergeCell ref="AW38:BE38"/>
    <mergeCell ref="AW39:BE39"/>
    <mergeCell ref="B25:C25"/>
    <mergeCell ref="AM1:AN1"/>
    <mergeCell ref="BF2:BF3"/>
    <mergeCell ref="B2:C2"/>
    <mergeCell ref="B3:C3"/>
    <mergeCell ref="AW2:AW3"/>
    <mergeCell ref="AX2:AX3"/>
    <mergeCell ref="AY2:AY3"/>
    <mergeCell ref="AZ2:AZ3"/>
    <mergeCell ref="BA2:BA3"/>
    <mergeCell ref="BB2:BB3"/>
    <mergeCell ref="BC2:BC3"/>
    <mergeCell ref="BD2:BD3"/>
    <mergeCell ref="BE2:BE3"/>
  </mergeCells>
  <conditionalFormatting sqref="AB3">
    <cfRule type="containsText" dxfId="6" priority="12" operator="containsText" text="FM">
      <formula>NOT(ISERROR(SEARCH("FM",AB3)))</formula>
    </cfRule>
  </conditionalFormatting>
  <conditionalFormatting sqref="AB3:AJ3">
    <cfRule type="containsText" dxfId="5" priority="11" operator="containsText" text="FM">
      <formula>NOT(ISERROR(SEARCH("FM",AB3)))</formula>
    </cfRule>
  </conditionalFormatting>
  <printOptions horizontalCentered="1"/>
  <pageMargins left="0.19685039370078741" right="0.19685039370078741" top="0.74803149606299213" bottom="0.35433070866141736" header="0.31496062992125984" footer="0.11811023622047245"/>
  <pageSetup paperSize="9" scale="63"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17" r:id="rId5" name="Drop Down 1">
              <controlPr locked="0" defaultSize="0" print="0" autoFill="0" autoLine="0" autoPict="0">
                <anchor moveWithCells="1">
                  <from>
                    <xdr:col>1</xdr:col>
                    <xdr:colOff>0</xdr:colOff>
                    <xdr:row>3</xdr:row>
                    <xdr:rowOff>9525</xdr:rowOff>
                  </from>
                  <to>
                    <xdr:col>27</xdr:col>
                    <xdr:colOff>28575</xdr:colOff>
                    <xdr:row>4</xdr:row>
                    <xdr:rowOff>66675</xdr:rowOff>
                  </to>
                </anchor>
              </controlPr>
            </control>
          </mc:Choice>
        </mc:AlternateContent>
        <mc:AlternateContent xmlns:mc="http://schemas.openxmlformats.org/markup-compatibility/2006">
          <mc:Choice Requires="x14">
            <control shapeId="9218" r:id="rId6" name="Drop Down 2">
              <controlPr locked="0" defaultSize="0" print="0" autoFill="0" autoLine="0" autoPict="0">
                <anchor moveWithCells="1">
                  <from>
                    <xdr:col>1</xdr:col>
                    <xdr:colOff>0</xdr:colOff>
                    <xdr:row>6</xdr:row>
                    <xdr:rowOff>9525</xdr:rowOff>
                  </from>
                  <to>
                    <xdr:col>27</xdr:col>
                    <xdr:colOff>28575</xdr:colOff>
                    <xdr:row>7</xdr:row>
                    <xdr:rowOff>47625</xdr:rowOff>
                  </to>
                </anchor>
              </controlPr>
            </control>
          </mc:Choice>
        </mc:AlternateContent>
        <mc:AlternateContent xmlns:mc="http://schemas.openxmlformats.org/markup-compatibility/2006">
          <mc:Choice Requires="x14">
            <control shapeId="9219" r:id="rId7" name="Drop Down 3">
              <controlPr locked="0" defaultSize="0" print="0" autoFill="0" autoLine="0" autoPict="0">
                <anchor moveWithCells="1">
                  <from>
                    <xdr:col>1</xdr:col>
                    <xdr:colOff>0</xdr:colOff>
                    <xdr:row>7</xdr:row>
                    <xdr:rowOff>9525</xdr:rowOff>
                  </from>
                  <to>
                    <xdr:col>27</xdr:col>
                    <xdr:colOff>28575</xdr:colOff>
                    <xdr:row>8</xdr:row>
                    <xdr:rowOff>47625</xdr:rowOff>
                  </to>
                </anchor>
              </controlPr>
            </control>
          </mc:Choice>
        </mc:AlternateContent>
        <mc:AlternateContent xmlns:mc="http://schemas.openxmlformats.org/markup-compatibility/2006">
          <mc:Choice Requires="x14">
            <control shapeId="9220" r:id="rId8" name="Drop Down 4">
              <controlPr locked="0" defaultSize="0" print="0" autoFill="0" autoLine="0" autoPict="0">
                <anchor moveWithCells="1">
                  <from>
                    <xdr:col>1</xdr:col>
                    <xdr:colOff>0</xdr:colOff>
                    <xdr:row>8</xdr:row>
                    <xdr:rowOff>9525</xdr:rowOff>
                  </from>
                  <to>
                    <xdr:col>27</xdr:col>
                    <xdr:colOff>28575</xdr:colOff>
                    <xdr:row>9</xdr:row>
                    <xdr:rowOff>47625</xdr:rowOff>
                  </to>
                </anchor>
              </controlPr>
            </control>
          </mc:Choice>
        </mc:AlternateContent>
        <mc:AlternateContent xmlns:mc="http://schemas.openxmlformats.org/markup-compatibility/2006">
          <mc:Choice Requires="x14">
            <control shapeId="9221" r:id="rId9" name="Drop Down 5">
              <controlPr locked="0" defaultSize="0" print="0" autoFill="0" autoLine="0" autoPict="0">
                <anchor moveWithCells="1">
                  <from>
                    <xdr:col>1</xdr:col>
                    <xdr:colOff>0</xdr:colOff>
                    <xdr:row>9</xdr:row>
                    <xdr:rowOff>9525</xdr:rowOff>
                  </from>
                  <to>
                    <xdr:col>27</xdr:col>
                    <xdr:colOff>28575</xdr:colOff>
                    <xdr:row>10</xdr:row>
                    <xdr:rowOff>47625</xdr:rowOff>
                  </to>
                </anchor>
              </controlPr>
            </control>
          </mc:Choice>
        </mc:AlternateContent>
        <mc:AlternateContent xmlns:mc="http://schemas.openxmlformats.org/markup-compatibility/2006">
          <mc:Choice Requires="x14">
            <control shapeId="9222" r:id="rId10" name="Drop Down 6">
              <controlPr locked="0" defaultSize="0" print="0" autoFill="0" autoLine="0" autoPict="0">
                <anchor moveWithCells="1">
                  <from>
                    <xdr:col>1</xdr:col>
                    <xdr:colOff>0</xdr:colOff>
                    <xdr:row>10</xdr:row>
                    <xdr:rowOff>9525</xdr:rowOff>
                  </from>
                  <to>
                    <xdr:col>27</xdr:col>
                    <xdr:colOff>28575</xdr:colOff>
                    <xdr:row>11</xdr:row>
                    <xdr:rowOff>47625</xdr:rowOff>
                  </to>
                </anchor>
              </controlPr>
            </control>
          </mc:Choice>
        </mc:AlternateContent>
        <mc:AlternateContent xmlns:mc="http://schemas.openxmlformats.org/markup-compatibility/2006">
          <mc:Choice Requires="x14">
            <control shapeId="9223" r:id="rId11" name="Drop Down 7">
              <controlPr locked="0" defaultSize="0" print="0" autoFill="0" autoLine="0" autoPict="0">
                <anchor moveWithCells="1">
                  <from>
                    <xdr:col>1</xdr:col>
                    <xdr:colOff>0</xdr:colOff>
                    <xdr:row>11</xdr:row>
                    <xdr:rowOff>9525</xdr:rowOff>
                  </from>
                  <to>
                    <xdr:col>27</xdr:col>
                    <xdr:colOff>28575</xdr:colOff>
                    <xdr:row>12</xdr:row>
                    <xdr:rowOff>47625</xdr:rowOff>
                  </to>
                </anchor>
              </controlPr>
            </control>
          </mc:Choice>
        </mc:AlternateContent>
        <mc:AlternateContent xmlns:mc="http://schemas.openxmlformats.org/markup-compatibility/2006">
          <mc:Choice Requires="x14">
            <control shapeId="9224" r:id="rId12" name="Drop Down 8">
              <controlPr locked="0" defaultSize="0" print="0" autoFill="0" autoLine="0" autoPict="0">
                <anchor moveWithCells="1">
                  <from>
                    <xdr:col>1</xdr:col>
                    <xdr:colOff>0</xdr:colOff>
                    <xdr:row>12</xdr:row>
                    <xdr:rowOff>9525</xdr:rowOff>
                  </from>
                  <to>
                    <xdr:col>27</xdr:col>
                    <xdr:colOff>28575</xdr:colOff>
                    <xdr:row>13</xdr:row>
                    <xdr:rowOff>47625</xdr:rowOff>
                  </to>
                </anchor>
              </controlPr>
            </control>
          </mc:Choice>
        </mc:AlternateContent>
        <mc:AlternateContent xmlns:mc="http://schemas.openxmlformats.org/markup-compatibility/2006">
          <mc:Choice Requires="x14">
            <control shapeId="9225" r:id="rId13" name="Drop Down 9">
              <controlPr locked="0" defaultSize="0" print="0" autoFill="0" autoLine="0" autoPict="0">
                <anchor moveWithCells="1">
                  <from>
                    <xdr:col>1</xdr:col>
                    <xdr:colOff>0</xdr:colOff>
                    <xdr:row>13</xdr:row>
                    <xdr:rowOff>9525</xdr:rowOff>
                  </from>
                  <to>
                    <xdr:col>27</xdr:col>
                    <xdr:colOff>28575</xdr:colOff>
                    <xdr:row>14</xdr:row>
                    <xdr:rowOff>47625</xdr:rowOff>
                  </to>
                </anchor>
              </controlPr>
            </control>
          </mc:Choice>
        </mc:AlternateContent>
        <mc:AlternateContent xmlns:mc="http://schemas.openxmlformats.org/markup-compatibility/2006">
          <mc:Choice Requires="x14">
            <control shapeId="9226" r:id="rId14" name="Drop Down 10">
              <controlPr locked="0" defaultSize="0" print="0" autoFill="0" autoLine="0" autoPict="0">
                <anchor moveWithCells="1">
                  <from>
                    <xdr:col>1</xdr:col>
                    <xdr:colOff>0</xdr:colOff>
                    <xdr:row>14</xdr:row>
                    <xdr:rowOff>9525</xdr:rowOff>
                  </from>
                  <to>
                    <xdr:col>27</xdr:col>
                    <xdr:colOff>28575</xdr:colOff>
                    <xdr:row>15</xdr:row>
                    <xdr:rowOff>47625</xdr:rowOff>
                  </to>
                </anchor>
              </controlPr>
            </control>
          </mc:Choice>
        </mc:AlternateContent>
        <mc:AlternateContent xmlns:mc="http://schemas.openxmlformats.org/markup-compatibility/2006">
          <mc:Choice Requires="x14">
            <control shapeId="9227" r:id="rId15" name="Drop Down 11">
              <controlPr locked="0" defaultSize="0" print="0" autoFill="0" autoLine="0" autoPict="0">
                <anchor moveWithCells="1">
                  <from>
                    <xdr:col>1</xdr:col>
                    <xdr:colOff>0</xdr:colOff>
                    <xdr:row>15</xdr:row>
                    <xdr:rowOff>9525</xdr:rowOff>
                  </from>
                  <to>
                    <xdr:col>27</xdr:col>
                    <xdr:colOff>28575</xdr:colOff>
                    <xdr:row>16</xdr:row>
                    <xdr:rowOff>47625</xdr:rowOff>
                  </to>
                </anchor>
              </controlPr>
            </control>
          </mc:Choice>
        </mc:AlternateContent>
        <mc:AlternateContent xmlns:mc="http://schemas.openxmlformats.org/markup-compatibility/2006">
          <mc:Choice Requires="x14">
            <control shapeId="9228" r:id="rId16" name="Drop Down 12">
              <controlPr locked="0" defaultSize="0" print="0" autoFill="0" autoLine="0" autoPict="0">
                <anchor moveWithCells="1">
                  <from>
                    <xdr:col>1</xdr:col>
                    <xdr:colOff>0</xdr:colOff>
                    <xdr:row>16</xdr:row>
                    <xdr:rowOff>9525</xdr:rowOff>
                  </from>
                  <to>
                    <xdr:col>27</xdr:col>
                    <xdr:colOff>28575</xdr:colOff>
                    <xdr:row>17</xdr:row>
                    <xdr:rowOff>47625</xdr:rowOff>
                  </to>
                </anchor>
              </controlPr>
            </control>
          </mc:Choice>
        </mc:AlternateContent>
        <mc:AlternateContent xmlns:mc="http://schemas.openxmlformats.org/markup-compatibility/2006">
          <mc:Choice Requires="x14">
            <control shapeId="9229" r:id="rId17" name="Drop Down 13">
              <controlPr locked="0" defaultSize="0" print="0" autoFill="0" autoLine="0" autoPict="0">
                <anchor moveWithCells="1">
                  <from>
                    <xdr:col>1</xdr:col>
                    <xdr:colOff>0</xdr:colOff>
                    <xdr:row>17</xdr:row>
                    <xdr:rowOff>9525</xdr:rowOff>
                  </from>
                  <to>
                    <xdr:col>27</xdr:col>
                    <xdr:colOff>28575</xdr:colOff>
                    <xdr:row>18</xdr:row>
                    <xdr:rowOff>47625</xdr:rowOff>
                  </to>
                </anchor>
              </controlPr>
            </control>
          </mc:Choice>
        </mc:AlternateContent>
        <mc:AlternateContent xmlns:mc="http://schemas.openxmlformats.org/markup-compatibility/2006">
          <mc:Choice Requires="x14">
            <control shapeId="9230" r:id="rId18" name="Drop Down 14">
              <controlPr locked="0" defaultSize="0" print="0" autoFill="0" autoLine="0" autoPict="0">
                <anchor moveWithCells="1">
                  <from>
                    <xdr:col>1</xdr:col>
                    <xdr:colOff>0</xdr:colOff>
                    <xdr:row>17</xdr:row>
                    <xdr:rowOff>9525</xdr:rowOff>
                  </from>
                  <to>
                    <xdr:col>27</xdr:col>
                    <xdr:colOff>28575</xdr:colOff>
                    <xdr:row>18</xdr:row>
                    <xdr:rowOff>47625</xdr:rowOff>
                  </to>
                </anchor>
              </controlPr>
            </control>
          </mc:Choice>
        </mc:AlternateContent>
        <mc:AlternateContent xmlns:mc="http://schemas.openxmlformats.org/markup-compatibility/2006">
          <mc:Choice Requires="x14">
            <control shapeId="9231" r:id="rId19" name="Drop Down 15">
              <controlPr locked="0" defaultSize="0" print="0" autoFill="0" autoLine="0" autoPict="0">
                <anchor moveWithCells="1">
                  <from>
                    <xdr:col>1</xdr:col>
                    <xdr:colOff>0</xdr:colOff>
                    <xdr:row>18</xdr:row>
                    <xdr:rowOff>9525</xdr:rowOff>
                  </from>
                  <to>
                    <xdr:col>27</xdr:col>
                    <xdr:colOff>28575</xdr:colOff>
                    <xdr:row>19</xdr:row>
                    <xdr:rowOff>47625</xdr:rowOff>
                  </to>
                </anchor>
              </controlPr>
            </control>
          </mc:Choice>
        </mc:AlternateContent>
        <mc:AlternateContent xmlns:mc="http://schemas.openxmlformats.org/markup-compatibility/2006">
          <mc:Choice Requires="x14">
            <control shapeId="9232" r:id="rId20" name="Drop Down 16">
              <controlPr locked="0" defaultSize="0" print="0" autoFill="0" autoLine="0" autoPict="0">
                <anchor moveWithCells="1">
                  <from>
                    <xdr:col>1</xdr:col>
                    <xdr:colOff>0</xdr:colOff>
                    <xdr:row>18</xdr:row>
                    <xdr:rowOff>9525</xdr:rowOff>
                  </from>
                  <to>
                    <xdr:col>27</xdr:col>
                    <xdr:colOff>28575</xdr:colOff>
                    <xdr:row>19</xdr:row>
                    <xdr:rowOff>47625</xdr:rowOff>
                  </to>
                </anchor>
              </controlPr>
            </control>
          </mc:Choice>
        </mc:AlternateContent>
        <mc:AlternateContent xmlns:mc="http://schemas.openxmlformats.org/markup-compatibility/2006">
          <mc:Choice Requires="x14">
            <control shapeId="9233" r:id="rId21" name="Drop Down 17">
              <controlPr locked="0" defaultSize="0" print="0" autoFill="0" autoLine="0" autoPict="0">
                <anchor moveWithCells="1">
                  <from>
                    <xdr:col>1</xdr:col>
                    <xdr:colOff>0</xdr:colOff>
                    <xdr:row>19</xdr:row>
                    <xdr:rowOff>9525</xdr:rowOff>
                  </from>
                  <to>
                    <xdr:col>27</xdr:col>
                    <xdr:colOff>28575</xdr:colOff>
                    <xdr:row>20</xdr:row>
                    <xdr:rowOff>47625</xdr:rowOff>
                  </to>
                </anchor>
              </controlPr>
            </control>
          </mc:Choice>
        </mc:AlternateContent>
        <mc:AlternateContent xmlns:mc="http://schemas.openxmlformats.org/markup-compatibility/2006">
          <mc:Choice Requires="x14">
            <control shapeId="9234" r:id="rId22" name="Drop Down 18">
              <controlPr locked="0" defaultSize="0" print="0" autoFill="0" autoLine="0" autoPict="0">
                <anchor moveWithCells="1">
                  <from>
                    <xdr:col>1</xdr:col>
                    <xdr:colOff>0</xdr:colOff>
                    <xdr:row>19</xdr:row>
                    <xdr:rowOff>9525</xdr:rowOff>
                  </from>
                  <to>
                    <xdr:col>27</xdr:col>
                    <xdr:colOff>28575</xdr:colOff>
                    <xdr:row>20</xdr:row>
                    <xdr:rowOff>47625</xdr:rowOff>
                  </to>
                </anchor>
              </controlPr>
            </control>
          </mc:Choice>
        </mc:AlternateContent>
        <mc:AlternateContent xmlns:mc="http://schemas.openxmlformats.org/markup-compatibility/2006">
          <mc:Choice Requires="x14">
            <control shapeId="9235" r:id="rId23" name="Drop Down 19">
              <controlPr locked="0" defaultSize="0" print="0" autoFill="0" autoLine="0" autoPict="0">
                <anchor moveWithCells="1">
                  <from>
                    <xdr:col>1</xdr:col>
                    <xdr:colOff>0</xdr:colOff>
                    <xdr:row>20</xdr:row>
                    <xdr:rowOff>9525</xdr:rowOff>
                  </from>
                  <to>
                    <xdr:col>27</xdr:col>
                    <xdr:colOff>28575</xdr:colOff>
                    <xdr:row>21</xdr:row>
                    <xdr:rowOff>47625</xdr:rowOff>
                  </to>
                </anchor>
              </controlPr>
            </control>
          </mc:Choice>
        </mc:AlternateContent>
        <mc:AlternateContent xmlns:mc="http://schemas.openxmlformats.org/markup-compatibility/2006">
          <mc:Choice Requires="x14">
            <control shapeId="9236" r:id="rId24" name="Drop Down 20">
              <controlPr locked="0" defaultSize="0" print="0" autoFill="0" autoLine="0" autoPict="0">
                <anchor moveWithCells="1">
                  <from>
                    <xdr:col>1</xdr:col>
                    <xdr:colOff>0</xdr:colOff>
                    <xdr:row>20</xdr:row>
                    <xdr:rowOff>9525</xdr:rowOff>
                  </from>
                  <to>
                    <xdr:col>27</xdr:col>
                    <xdr:colOff>28575</xdr:colOff>
                    <xdr:row>21</xdr:row>
                    <xdr:rowOff>47625</xdr:rowOff>
                  </to>
                </anchor>
              </controlPr>
            </control>
          </mc:Choice>
        </mc:AlternateContent>
        <mc:AlternateContent xmlns:mc="http://schemas.openxmlformats.org/markup-compatibility/2006">
          <mc:Choice Requires="x14">
            <control shapeId="9237" r:id="rId25" name="Drop Down 21">
              <controlPr locked="0" defaultSize="0" print="0" autoFill="0" autoLine="0" autoPict="0">
                <anchor moveWithCells="1">
                  <from>
                    <xdr:col>1</xdr:col>
                    <xdr:colOff>0</xdr:colOff>
                    <xdr:row>21</xdr:row>
                    <xdr:rowOff>9525</xdr:rowOff>
                  </from>
                  <to>
                    <xdr:col>27</xdr:col>
                    <xdr:colOff>28575</xdr:colOff>
                    <xdr:row>22</xdr:row>
                    <xdr:rowOff>47625</xdr:rowOff>
                  </to>
                </anchor>
              </controlPr>
            </control>
          </mc:Choice>
        </mc:AlternateContent>
        <mc:AlternateContent xmlns:mc="http://schemas.openxmlformats.org/markup-compatibility/2006">
          <mc:Choice Requires="x14">
            <control shapeId="9238" r:id="rId26" name="Drop Down 22">
              <controlPr locked="0" defaultSize="0" print="0" autoFill="0" autoLine="0" autoPict="0">
                <anchor moveWithCells="1">
                  <from>
                    <xdr:col>1</xdr:col>
                    <xdr:colOff>0</xdr:colOff>
                    <xdr:row>21</xdr:row>
                    <xdr:rowOff>9525</xdr:rowOff>
                  </from>
                  <to>
                    <xdr:col>27</xdr:col>
                    <xdr:colOff>28575</xdr:colOff>
                    <xdr:row>22</xdr:row>
                    <xdr:rowOff>47625</xdr:rowOff>
                  </to>
                </anchor>
              </controlPr>
            </control>
          </mc:Choice>
        </mc:AlternateContent>
        <mc:AlternateContent xmlns:mc="http://schemas.openxmlformats.org/markup-compatibility/2006">
          <mc:Choice Requires="x14">
            <control shapeId="9240" r:id="rId27" name="Drop Down 24">
              <controlPr locked="0" defaultSize="0" print="0" autoFill="0" autoLine="0" autoPict="0">
                <anchor moveWithCells="1">
                  <from>
                    <xdr:col>1</xdr:col>
                    <xdr:colOff>0</xdr:colOff>
                    <xdr:row>4</xdr:row>
                    <xdr:rowOff>9525</xdr:rowOff>
                  </from>
                  <to>
                    <xdr:col>27</xdr:col>
                    <xdr:colOff>28575</xdr:colOff>
                    <xdr:row>5</xdr:row>
                    <xdr:rowOff>47625</xdr:rowOff>
                  </to>
                </anchor>
              </controlPr>
            </control>
          </mc:Choice>
        </mc:AlternateContent>
        <mc:AlternateContent xmlns:mc="http://schemas.openxmlformats.org/markup-compatibility/2006">
          <mc:Choice Requires="x14">
            <control shapeId="9241" r:id="rId28" name="Drop Down 25">
              <controlPr locked="0" defaultSize="0" print="0" autoFill="0" autoLine="0" autoPict="0">
                <anchor moveWithCells="1">
                  <from>
                    <xdr:col>1</xdr:col>
                    <xdr:colOff>0</xdr:colOff>
                    <xdr:row>5</xdr:row>
                    <xdr:rowOff>9525</xdr:rowOff>
                  </from>
                  <to>
                    <xdr:col>27</xdr:col>
                    <xdr:colOff>28575</xdr:colOff>
                    <xdr:row>6</xdr:row>
                    <xdr:rowOff>47625</xdr:rowOff>
                  </to>
                </anchor>
              </controlPr>
            </control>
          </mc:Choice>
        </mc:AlternateContent>
        <mc:AlternateContent xmlns:mc="http://schemas.openxmlformats.org/markup-compatibility/2006">
          <mc:Choice Requires="x14">
            <control shapeId="9242" r:id="rId29" name="Drop Down 26">
              <controlPr locked="0" defaultSize="0" print="0" autoFill="0" autoLine="0" autoPict="0">
                <anchor moveWithCells="1">
                  <from>
                    <xdr:col>1</xdr:col>
                    <xdr:colOff>0</xdr:colOff>
                    <xdr:row>21</xdr:row>
                    <xdr:rowOff>9525</xdr:rowOff>
                  </from>
                  <to>
                    <xdr:col>27</xdr:col>
                    <xdr:colOff>28575</xdr:colOff>
                    <xdr:row>22</xdr:row>
                    <xdr:rowOff>47625</xdr:rowOff>
                  </to>
                </anchor>
              </controlPr>
            </control>
          </mc:Choice>
        </mc:AlternateContent>
        <mc:AlternateContent xmlns:mc="http://schemas.openxmlformats.org/markup-compatibility/2006">
          <mc:Choice Requires="x14">
            <control shapeId="9243" r:id="rId30" name="Drop Down 27">
              <controlPr locked="0" defaultSize="0" print="0" autoFill="0" autoLine="0" autoPict="0">
                <anchor moveWithCells="1">
                  <from>
                    <xdr:col>1</xdr:col>
                    <xdr:colOff>0</xdr:colOff>
                    <xdr:row>21</xdr:row>
                    <xdr:rowOff>9525</xdr:rowOff>
                  </from>
                  <to>
                    <xdr:col>27</xdr:col>
                    <xdr:colOff>28575</xdr:colOff>
                    <xdr:row>22</xdr:row>
                    <xdr:rowOff>47625</xdr:rowOff>
                  </to>
                </anchor>
              </controlPr>
            </control>
          </mc:Choice>
        </mc:AlternateContent>
        <mc:AlternateContent xmlns:mc="http://schemas.openxmlformats.org/markup-compatibility/2006">
          <mc:Choice Requires="x14">
            <control shapeId="9244" r:id="rId31" name="Drop Down 28">
              <controlPr locked="0" defaultSize="0" print="0" autoFill="0" autoLine="0" autoPict="0">
                <anchor moveWithCells="1">
                  <from>
                    <xdr:col>1</xdr:col>
                    <xdr:colOff>0</xdr:colOff>
                    <xdr:row>22</xdr:row>
                    <xdr:rowOff>9525</xdr:rowOff>
                  </from>
                  <to>
                    <xdr:col>27</xdr:col>
                    <xdr:colOff>28575</xdr:colOff>
                    <xdr:row>23</xdr:row>
                    <xdr:rowOff>47625</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9525</xdr:rowOff>
                  </from>
                  <to>
                    <xdr:col>27</xdr:col>
                    <xdr:colOff>28575</xdr:colOff>
                    <xdr:row>23</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138</vt:i4>
      </vt:variant>
    </vt:vector>
  </HeadingPairs>
  <TitlesOfParts>
    <vt:vector size="149"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Art</vt:lpstr>
      <vt:lpstr>Camax</vt:lpstr>
      <vt:lpstr>Camin</vt:lpstr>
      <vt:lpstr>CaPmax</vt:lpstr>
      <vt:lpstr>CaPmin</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GR_Ca</vt:lpstr>
      <vt:lpstr>GR_K</vt:lpstr>
      <vt:lpstr>GR_Mg</vt:lpstr>
      <vt:lpstr>GR_Na</vt:lpstr>
      <vt:lpstr>GR_NDF</vt:lpstr>
      <vt:lpstr>GR_NEL</vt:lpstr>
      <vt:lpstr>GR_NFC</vt:lpstr>
      <vt:lpstr>GR_nXP</vt:lpstr>
      <vt:lpstr>GR_P</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Pmax</vt:lpstr>
      <vt:lpstr>Pmin</vt:lpstr>
      <vt:lpstr>Rasse</vt:lpstr>
      <vt:lpstr>RNBmax</vt:lpstr>
      <vt:lpstr>RNBmin</vt:lpstr>
      <vt:lpstr>Semax</vt:lpstr>
      <vt:lpstr>Semin</vt:lpstr>
      <vt:lpstr>SWmin</vt:lpstr>
      <vt:lpstr>sXFmin</vt:lpstr>
      <vt:lpstr>'Ration Milch-Mineralstoffe'!t</vt:lpstr>
      <vt:lpstr>Futterwerte!Tabelle</vt:lpstr>
      <vt:lpstr>Tabelle</vt:lpstr>
      <vt:lpstr>Tabelle_GF</vt:lpstr>
      <vt:lpstr>Tabelle_KF</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Sekul, Wolfgang (LAZBW)</cp:lastModifiedBy>
  <cp:lastPrinted>2017-07-13T14:29:11Z</cp:lastPrinted>
  <dcterms:created xsi:type="dcterms:W3CDTF">2000-02-24T07:56:29Z</dcterms:created>
  <dcterms:modified xsi:type="dcterms:W3CDTF">2017-11-15T09:24:41Z</dcterms:modified>
</cp:coreProperties>
</file>